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2.xml" ContentType="application/vnd.openxmlformats-officedocument.drawingml.chartshapes+xml"/>
  <Override PartName="/xl/charts/chart3.xml" ContentType="application/vnd.openxmlformats-officedocument.drawingml.chart+xml"/>
  <Override PartName="/xl/drawings/drawing1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tabaresm\Mis documentos\My Document\AGUA\INFORMACION PROYECTO AGUAS 2020\PUBLICACION PAGINA WEB AGUAS\ACTUALIZACION PUBLICACION AGUAS 2022 - 22.06.2022\"/>
    </mc:Choice>
  </mc:AlternateContent>
  <xr:revisionPtr revIDLastSave="0" documentId="13_ncr:1_{650385CE-62D5-4145-94CD-9660F7F22342}" xr6:coauthVersionLast="36" xr6:coauthVersionMax="47" xr10:uidLastSave="{00000000-0000-0000-0000-000000000000}"/>
  <bookViews>
    <workbookView xWindow="-120" yWindow="-120" windowWidth="29040" windowHeight="15840" firstSheet="5" activeTab="10" xr2:uid="{00000000-000D-0000-FFFF-FFFF00000000}"/>
  </bookViews>
  <sheets>
    <sheet name="VALLE DE ABURRA" sheetId="1" r:id="rId1"/>
    <sheet name="URABA" sheetId="2" r:id="rId2"/>
    <sheet name="NORTE" sheetId="3" r:id="rId3"/>
    <sheet name="OCCIDENTE" sheetId="4" r:id="rId4"/>
    <sheet name="SUROESTE" sheetId="5" r:id="rId5"/>
    <sheet name="BAJO CAUCA" sheetId="6" r:id="rId6"/>
    <sheet name="MAGDALENA MEDIO" sheetId="7" r:id="rId7"/>
    <sheet name="NORDESTE" sheetId="8" r:id="rId8"/>
    <sheet name="ORIENTE" sheetId="9" r:id="rId9"/>
    <sheet name="CONSOLIDADO-ACUEDUCTOSRURALES1" sheetId="10" r:id="rId10"/>
    <sheet name="CONSOLIDADO-ACUEDUCTOSRURALES2" sheetId="11" r:id="rId11"/>
    <sheet name="Hoja1" sheetId="12" r:id="rId12"/>
    <sheet name="Recuperado_Hoja9" sheetId="13" r:id="rId13"/>
  </sheets>
  <definedNames>
    <definedName name="_xlnm._FilterDatabase" localSheetId="5" hidden="1">'BAJO CAUCA'!$A$10:$W$67</definedName>
    <definedName name="_xlnm._FilterDatabase" localSheetId="6" hidden="1">'MAGDALENA MEDIO'!$A$10:$BR$85</definedName>
    <definedName name="_xlnm._FilterDatabase" localSheetId="7" hidden="1">NORDESTE!$A$11:$W$127</definedName>
    <definedName name="_xlnm._FilterDatabase" localSheetId="2" hidden="1">NORTE!$A$10:$W$264</definedName>
    <definedName name="_xlnm._FilterDatabase" localSheetId="3" hidden="1">OCCIDENTE!$A$10:$W$503</definedName>
    <definedName name="_xlnm._FilterDatabase" localSheetId="8" hidden="1">ORIENTE!$A$11:$W$552</definedName>
    <definedName name="_xlnm._FilterDatabase" localSheetId="4" hidden="1">SUROESTE!$A$10:$IV$520</definedName>
    <definedName name="_xlnm._FilterDatabase" localSheetId="1" hidden="1">URABA!$A$10:$W$119</definedName>
    <definedName name="_xlnm._FilterDatabase" localSheetId="0" hidden="1">'VALLE DE ABURRA'!$A$10:$W$210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2" hidden="1">2</definedName>
    <definedName name="solver_typ" localSheetId="3" hidden="1">2</definedName>
    <definedName name="solver_typ" localSheetId="8" hidden="1">2</definedName>
    <definedName name="solver_typ" localSheetId="4" hidden="1">2</definedName>
    <definedName name="solver_typ" localSheetId="1" hidden="1">2</definedName>
    <definedName name="solver_typ" localSheetId="0" hidden="1">2</definedName>
    <definedName name="solver_ver" localSheetId="5" hidden="1">17</definedName>
    <definedName name="solver_ver" localSheetId="6" hidden="1">17</definedName>
    <definedName name="solver_ver" localSheetId="7" hidden="1">17</definedName>
    <definedName name="solver_ver" localSheetId="2" hidden="1">17</definedName>
    <definedName name="solver_ver" localSheetId="3" hidden="1">17</definedName>
    <definedName name="solver_ver" localSheetId="8" hidden="1">17</definedName>
    <definedName name="solver_ver" localSheetId="4" hidden="1">17</definedName>
    <definedName name="solver_ver" localSheetId="1" hidden="1">17</definedName>
    <definedName name="solver_ver" localSheetId="0" hidden="1">17</definedName>
    <definedName name="_xlnm.Print_Titles" localSheetId="5">'BAJO CAUCA'!#REF!</definedName>
    <definedName name="_xlnm.Print_Titles" localSheetId="6">'MAGDALENA MEDIO'!$7:$7</definedName>
    <definedName name="_xlnm.Print_Titles" localSheetId="7">NORDESTE!#REF!</definedName>
    <definedName name="_xlnm.Print_Titles" localSheetId="2">NORTE!#REF!</definedName>
    <definedName name="_xlnm.Print_Titles" localSheetId="3">OCCIDENTE!#REF!</definedName>
    <definedName name="_xlnm.Print_Titles" localSheetId="8">ORIENTE!#REF!</definedName>
    <definedName name="_xlnm.Print_Titles" localSheetId="4">SUROESTE!#REF!</definedName>
    <definedName name="_xlnm.Print_Titles" localSheetId="1">URABA!#REF!</definedName>
    <definedName name="_xlnm.Print_Titles" localSheetId="0">'VALLE DE ABURRA'!#REF!</definedName>
    <definedName name="Z_0BC005E4_882D_482B_A17C_09999F9F8307_.wvu.FilterData" localSheetId="4" hidden="1">SUROESTE!$A$11:$W$111</definedName>
    <definedName name="Z_240BA642_90B5_4126_A4A9_99E737AC13D0_.wvu.FilterData" localSheetId="5" hidden="1">'BAJO CAUCA'!$A$10:$W$67</definedName>
    <definedName name="Z_240BA642_90B5_4126_A4A9_99E737AC13D0_.wvu.FilterData" localSheetId="6" hidden="1">'MAGDALENA MEDIO'!$A$10:$BR$85</definedName>
    <definedName name="Z_240BA642_90B5_4126_A4A9_99E737AC13D0_.wvu.FilterData" localSheetId="7" hidden="1">NORDESTE!$A$11:$W$126</definedName>
    <definedName name="Z_240BA642_90B5_4126_A4A9_99E737AC13D0_.wvu.FilterData" localSheetId="3" hidden="1">OCCIDENTE!$A$10:$W$503</definedName>
    <definedName name="Z_240BA642_90B5_4126_A4A9_99E737AC13D0_.wvu.FilterData" localSheetId="8" hidden="1">ORIENTE!$A$11:$W$552</definedName>
    <definedName name="Z_240BA642_90B5_4126_A4A9_99E737AC13D0_.wvu.FilterData" localSheetId="4" hidden="1">SUROESTE!$A$10:$IV$520</definedName>
    <definedName name="Z_240BA642_90B5_4126_A4A9_99E737AC13D0_.wvu.FilterData" localSheetId="0" hidden="1">'VALLE DE ABURRA'!$A$10:$W$210</definedName>
    <definedName name="Z_45AE7309_DF76_40FF_9BC6_30C0FE705437_.wvu.FilterData" localSheetId="4" hidden="1">SUROESTE!$A$11:$W$111</definedName>
    <definedName name="Z_45C8AF51_29EC_46A5_AB7F_1F0634E55D82_.wvu.Cols" localSheetId="5" hidden="1">'BAJO CAUCA'!$T:$XFD</definedName>
    <definedName name="Z_45C8AF51_29EC_46A5_AB7F_1F0634E55D82_.wvu.Cols" localSheetId="7" hidden="1">NORDESTE!$T:$XFD</definedName>
    <definedName name="Z_45C8AF51_29EC_46A5_AB7F_1F0634E55D82_.wvu.Cols" localSheetId="2" hidden="1">NORTE!$T:$XFD</definedName>
    <definedName name="Z_45C8AF51_29EC_46A5_AB7F_1F0634E55D82_.wvu.Cols" localSheetId="3" hidden="1">OCCIDENTE!$T:$XFD</definedName>
    <definedName name="Z_45C8AF51_29EC_46A5_AB7F_1F0634E55D82_.wvu.Cols" localSheetId="8" hidden="1">ORIENTE!$T:$XFD</definedName>
    <definedName name="Z_45C8AF51_29EC_46A5_AB7F_1F0634E55D82_.wvu.Cols" localSheetId="4" hidden="1">SUROESTE!$T:$XFD</definedName>
    <definedName name="Z_45C8AF51_29EC_46A5_AB7F_1F0634E55D82_.wvu.Cols" localSheetId="1" hidden="1">URABA!$T:$XFD</definedName>
    <definedName name="Z_45C8AF51_29EC_46A5_AB7F_1F0634E55D82_.wvu.Cols" localSheetId="0" hidden="1">'VALLE DE ABURRA'!$T:$XFD</definedName>
    <definedName name="Z_45C8AF51_29EC_46A5_AB7F_1F0634E55D82_.wvu.FilterData" localSheetId="5" hidden="1">'BAJO CAUCA'!$A$10:$W$67</definedName>
    <definedName name="Z_45C8AF51_29EC_46A5_AB7F_1F0634E55D82_.wvu.FilterData" localSheetId="6" hidden="1">'MAGDALENA MEDIO'!$A$10:$BR$85</definedName>
    <definedName name="Z_45C8AF51_29EC_46A5_AB7F_1F0634E55D82_.wvu.FilterData" localSheetId="7" hidden="1">NORDESTE!$A$11:$W$127</definedName>
    <definedName name="Z_45C8AF51_29EC_46A5_AB7F_1F0634E55D82_.wvu.FilterData" localSheetId="2" hidden="1">NORTE!$A$8:$S$264</definedName>
    <definedName name="Z_45C8AF51_29EC_46A5_AB7F_1F0634E55D82_.wvu.FilterData" localSheetId="3" hidden="1">OCCIDENTE!$A$10:$W$503</definedName>
    <definedName name="Z_45C8AF51_29EC_46A5_AB7F_1F0634E55D82_.wvu.FilterData" localSheetId="8" hidden="1">ORIENTE!$A$11:$W$552</definedName>
    <definedName name="Z_45C8AF51_29EC_46A5_AB7F_1F0634E55D82_.wvu.FilterData" localSheetId="4" hidden="1">SUROESTE!$A$10:$IV$520</definedName>
    <definedName name="Z_45C8AF51_29EC_46A5_AB7F_1F0634E55D82_.wvu.FilterData" localSheetId="1" hidden="1">URABA!$A$10:$W$113</definedName>
    <definedName name="Z_45C8AF51_29EC_46A5_AB7F_1F0634E55D82_.wvu.FilterData" localSheetId="0" hidden="1">'VALLE DE ABURRA'!$A$10:$W$210</definedName>
    <definedName name="Z_45C8AF51_29EC_46A5_AB7F_1F0634E55D82_.wvu.PrintTitles" localSheetId="6" hidden="1">'MAGDALENA MEDIO'!$7:$7</definedName>
    <definedName name="Z_45C8AF51_29EC_46A5_AB7F_1F0634E55D82_.wvu.Rows" localSheetId="5" hidden="1">'BAJO CAUCA'!$717:$1048576,'BAJO CAUCA'!$644:$691,'BAJO CAUCA'!$695:$716</definedName>
    <definedName name="Z_45C8AF51_29EC_46A5_AB7F_1F0634E55D82_.wvu.Rows" localSheetId="7" hidden="1">NORDESTE!$345:$1048576,NORDESTE!$330:$344</definedName>
    <definedName name="Z_45C8AF51_29EC_46A5_AB7F_1F0634E55D82_.wvu.Rows" localSheetId="2" hidden="1">NORTE!$734:$1048576,NORTE!$327:$481</definedName>
    <definedName name="Z_45C8AF51_29EC_46A5_AB7F_1F0634E55D82_.wvu.Rows" localSheetId="3" hidden="1">OCCIDENTE!$731:$1048576</definedName>
    <definedName name="Z_45C8AF51_29EC_46A5_AB7F_1F0634E55D82_.wvu.Rows" localSheetId="8" hidden="1">ORIENTE!$711:$1048576</definedName>
    <definedName name="Z_45C8AF51_29EC_46A5_AB7F_1F0634E55D82_.wvu.Rows" localSheetId="4" hidden="1">SUROESTE!$763:$1048576,SUROESTE!$604:$604,SUROESTE!$755:$756,SUROESTE!$758:$762</definedName>
    <definedName name="Z_45C8AF51_29EC_46A5_AB7F_1F0634E55D82_.wvu.Rows" localSheetId="1" hidden="1">URABA!$481:$1048576,URABA!$269:$424,URABA!$474:$479</definedName>
    <definedName name="Z_517032D9_A4B9_4DF6_AF6F_013B4C18FEE6_.wvu.FilterData" localSheetId="0" hidden="1">'VALLE DE ABURRA'!$A$10:$W$224</definedName>
    <definedName name="Z_64E98953_D9FC_418E_8635_8B1C17E32257_.wvu.FilterData" localSheetId="4" hidden="1">SUROESTE!$A$11:$W$111</definedName>
    <definedName name="Z_75DD7674_E7DE_4BB1_A36D_76AA33452CB3_.wvu.Cols" localSheetId="5" hidden="1">'BAJO CAUCA'!$T:$XFD</definedName>
    <definedName name="Z_75DD7674_E7DE_4BB1_A36D_76AA33452CB3_.wvu.Cols" localSheetId="7" hidden="1">NORDESTE!$T:$XFD</definedName>
    <definedName name="Z_75DD7674_E7DE_4BB1_A36D_76AA33452CB3_.wvu.Cols" localSheetId="2" hidden="1">NORTE!$T:$XFD</definedName>
    <definedName name="Z_75DD7674_E7DE_4BB1_A36D_76AA33452CB3_.wvu.Cols" localSheetId="3" hidden="1">OCCIDENTE!$T:$XFD</definedName>
    <definedName name="Z_75DD7674_E7DE_4BB1_A36D_76AA33452CB3_.wvu.Cols" localSheetId="8" hidden="1">ORIENTE!$T:$XFD</definedName>
    <definedName name="Z_75DD7674_E7DE_4BB1_A36D_76AA33452CB3_.wvu.Cols" localSheetId="4" hidden="1">SUROESTE!$T:$XFD</definedName>
    <definedName name="Z_75DD7674_E7DE_4BB1_A36D_76AA33452CB3_.wvu.Cols" localSheetId="1" hidden="1">URABA!$T:$XFD</definedName>
    <definedName name="Z_75DD7674_E7DE_4BB1_A36D_76AA33452CB3_.wvu.Cols" localSheetId="0" hidden="1">'VALLE DE ABURRA'!$T:$XFD</definedName>
    <definedName name="Z_75DD7674_E7DE_4BB1_A36D_76AA33452CB3_.wvu.FilterData" localSheetId="5" hidden="1">'BAJO CAUCA'!$A$10:$W$67</definedName>
    <definedName name="Z_75DD7674_E7DE_4BB1_A36D_76AA33452CB3_.wvu.FilterData" localSheetId="6" hidden="1">'MAGDALENA MEDIO'!$A$10:$BR$85</definedName>
    <definedName name="Z_75DD7674_E7DE_4BB1_A36D_76AA33452CB3_.wvu.FilterData" localSheetId="7" hidden="1">NORDESTE!$A$11:$W$127</definedName>
    <definedName name="Z_75DD7674_E7DE_4BB1_A36D_76AA33452CB3_.wvu.FilterData" localSheetId="2" hidden="1">NORTE!$A$10:$W$264</definedName>
    <definedName name="Z_75DD7674_E7DE_4BB1_A36D_76AA33452CB3_.wvu.FilterData" localSheetId="3" hidden="1">OCCIDENTE!$A$10:$W$503</definedName>
    <definedName name="Z_75DD7674_E7DE_4BB1_A36D_76AA33452CB3_.wvu.FilterData" localSheetId="8" hidden="1">ORIENTE!$A$11:$W$552</definedName>
    <definedName name="Z_75DD7674_E7DE_4BB1_A36D_76AA33452CB3_.wvu.FilterData" localSheetId="4" hidden="1">SUROESTE!$A$10:$IV$520</definedName>
    <definedName name="Z_75DD7674_E7DE_4BB1_A36D_76AA33452CB3_.wvu.FilterData" localSheetId="1" hidden="1">URABA!$A$10:$W$113</definedName>
    <definedName name="Z_75DD7674_E7DE_4BB1_A36D_76AA33452CB3_.wvu.FilterData" localSheetId="0" hidden="1">'VALLE DE ABURRA'!$A$10:$W$210</definedName>
    <definedName name="Z_75DD7674_E7DE_4BB1_A36D_76AA33452CB3_.wvu.PrintTitles" localSheetId="6" hidden="1">'MAGDALENA MEDIO'!$7:$7</definedName>
    <definedName name="Z_75DD7674_E7DE_4BB1_A36D_76AA33452CB3_.wvu.Rows" localSheetId="5" hidden="1">'BAJO CAUCA'!$717:$1048576,'BAJO CAUCA'!$692:$694</definedName>
    <definedName name="Z_75DD7674_E7DE_4BB1_A36D_76AA33452CB3_.wvu.Rows" localSheetId="7" hidden="1">NORDESTE!$345:$1048576,NORDESTE!$330:$344</definedName>
    <definedName name="Z_75DD7674_E7DE_4BB1_A36D_76AA33452CB3_.wvu.Rows" localSheetId="2" hidden="1">NORTE!$734:$1048576,NORTE!$327:$481,NORTE!$587:$733</definedName>
    <definedName name="Z_75DD7674_E7DE_4BB1_A36D_76AA33452CB3_.wvu.Rows" localSheetId="3" hidden="1">OCCIDENTE!$731:$1048576</definedName>
    <definedName name="Z_75DD7674_E7DE_4BB1_A36D_76AA33452CB3_.wvu.Rows" localSheetId="8" hidden="1">ORIENTE!$711:$1048576</definedName>
    <definedName name="Z_75DD7674_E7DE_4BB1_A36D_76AA33452CB3_.wvu.Rows" localSheetId="4" hidden="1">SUROESTE!$763:$1048576,SUROESTE!$604:$604,SUROESTE!$755:$762</definedName>
    <definedName name="Z_75DD7674_E7DE_4BB1_A36D_76AA33452CB3_.wvu.Rows" localSheetId="1" hidden="1">URABA!$481:$1048576,URABA!$269:$424,URABA!$474:$480</definedName>
    <definedName name="Z_A1AE07FC_EB65_433F_821D_BE06E92AB2D3_.wvu.FilterData" localSheetId="4" hidden="1">SUROESTE!$A$11:$W$111</definedName>
    <definedName name="Z_AEDE1BDB_8710_4CDA_8488_31F49D423ACE_.wvu.Cols" localSheetId="5" hidden="1">'BAJO CAUCA'!$T:$XFD</definedName>
    <definedName name="Z_AEDE1BDB_8710_4CDA_8488_31F49D423ACE_.wvu.Cols" localSheetId="7" hidden="1">NORDESTE!$T:$XFD</definedName>
    <definedName name="Z_AEDE1BDB_8710_4CDA_8488_31F49D423ACE_.wvu.Cols" localSheetId="2" hidden="1">NORTE!$T:$XFD</definedName>
    <definedName name="Z_AEDE1BDB_8710_4CDA_8488_31F49D423ACE_.wvu.Cols" localSheetId="4" hidden="1">SUROESTE!$T:$XFD</definedName>
    <definedName name="Z_AEDE1BDB_8710_4CDA_8488_31F49D423ACE_.wvu.Cols" localSheetId="1" hidden="1">URABA!$T:$XFD</definedName>
    <definedName name="Z_AEDE1BDB_8710_4CDA_8488_31F49D423ACE_.wvu.FilterData" localSheetId="5" hidden="1">'BAJO CAUCA'!$A$10:$W$24</definedName>
    <definedName name="Z_AEDE1BDB_8710_4CDA_8488_31F49D423ACE_.wvu.FilterData" localSheetId="6" hidden="1">'MAGDALENA MEDIO'!$A$8:$W$13</definedName>
    <definedName name="Z_AEDE1BDB_8710_4CDA_8488_31F49D423ACE_.wvu.FilterData" localSheetId="8" hidden="1">ORIENTE!$A$11:$W$552</definedName>
    <definedName name="Z_AEDE1BDB_8710_4CDA_8488_31F49D423ACE_.wvu.FilterData" localSheetId="4" hidden="1">SUROESTE!$A$11:$W$111</definedName>
    <definedName name="Z_AEDE1BDB_8710_4CDA_8488_31F49D423ACE_.wvu.FilterData" localSheetId="1" hidden="1">URABA!$A$10:$W$113</definedName>
    <definedName name="Z_AEDE1BDB_8710_4CDA_8488_31F49D423ACE_.wvu.FilterData" localSheetId="0" hidden="1">'VALLE DE ABURRA'!$A$10:$W$224</definedName>
    <definedName name="Z_AEDE1BDB_8710_4CDA_8488_31F49D423ACE_.wvu.PrintTitles" localSheetId="6" hidden="1">'MAGDALENA MEDIO'!$7:$7</definedName>
    <definedName name="Z_AEDE1BDB_8710_4CDA_8488_31F49D423ACE_.wvu.Rows" localSheetId="5" hidden="1">'BAJO CAUCA'!$644:$1048576</definedName>
    <definedName name="Z_AEDE1BDB_8710_4CDA_8488_31F49D423ACE_.wvu.Rows" localSheetId="7" hidden="1">NORDESTE!$330:$1048576</definedName>
    <definedName name="Z_AEDE1BDB_8710_4CDA_8488_31F49D423ACE_.wvu.Rows" localSheetId="2" hidden="1">NORTE!$587:$1048576,NORTE!$327:$481</definedName>
    <definedName name="Z_AEDE1BDB_8710_4CDA_8488_31F49D423ACE_.wvu.Rows" localSheetId="3" hidden="1">OCCIDENTE!$731:$1048576</definedName>
    <definedName name="Z_AEDE1BDB_8710_4CDA_8488_31F49D423ACE_.wvu.Rows" localSheetId="8" hidden="1">ORIENTE!$711:$1048576</definedName>
    <definedName name="Z_AEDE1BDB_8710_4CDA_8488_31F49D423ACE_.wvu.Rows" localSheetId="4" hidden="1">SUROESTE!$757:$1048576,SUROESTE!$604:$604,SUROESTE!$755:$756</definedName>
    <definedName name="Z_AEDE1BDB_8710_4CDA_8488_31F49D423ACE_.wvu.Rows" localSheetId="1" hidden="1">URABA!$480:$1048576,URABA!$269:$424,URABA!$474:$479</definedName>
    <definedName name="Z_BEFDC7EA_264B_417F_8BFF_45DAD338E7E1_.wvu.FilterData" localSheetId="4" hidden="1">SUROESTE!$A$11:$W$111</definedName>
    <definedName name="Z_C57B382E_2C58_4CC4_82F5_E09F3EEAA329_.wvu.FilterData" localSheetId="8" hidden="1">ORIENTE!$A$11:$W$552</definedName>
    <definedName name="Z_C57B382E_2C58_4CC4_82F5_E09F3EEAA329_.wvu.FilterData" localSheetId="4" hidden="1">SUROESTE!$A$11:$W$111</definedName>
    <definedName name="Z_F5D399BA_45A7_4E12_9AE4_6C6852B41446_.wvu.FilterData" localSheetId="2" hidden="1">NORTE!$A$10:$W$264</definedName>
    <definedName name="Z_FCC3B493_4306_43B2_9C73_76324485DD47_.wvu.Cols" localSheetId="5" hidden="1">'BAJO CAUCA'!$T:$XFD</definedName>
    <definedName name="Z_FCC3B493_4306_43B2_9C73_76324485DD47_.wvu.Cols" localSheetId="7" hidden="1">NORDESTE!$T:$XFD</definedName>
    <definedName name="Z_FCC3B493_4306_43B2_9C73_76324485DD47_.wvu.Cols" localSheetId="2" hidden="1">NORTE!$T:$XFD</definedName>
    <definedName name="Z_FCC3B493_4306_43B2_9C73_76324485DD47_.wvu.Cols" localSheetId="3" hidden="1">OCCIDENTE!$T:$XFD</definedName>
    <definedName name="Z_FCC3B493_4306_43B2_9C73_76324485DD47_.wvu.Cols" localSheetId="8" hidden="1">ORIENTE!$T:$XFD</definedName>
    <definedName name="Z_FCC3B493_4306_43B2_9C73_76324485DD47_.wvu.Cols" localSheetId="4" hidden="1">SUROESTE!$T:$XFD</definedName>
    <definedName name="Z_FCC3B493_4306_43B2_9C73_76324485DD47_.wvu.Cols" localSheetId="1" hidden="1">URABA!$T:$XFD</definedName>
    <definedName name="Z_FCC3B493_4306_43B2_9C73_76324485DD47_.wvu.Cols" localSheetId="0" hidden="1">'VALLE DE ABURRA'!$T:$XFD</definedName>
    <definedName name="Z_FCC3B493_4306_43B2_9C73_76324485DD47_.wvu.FilterData" localSheetId="5" hidden="1">'BAJO CAUCA'!$10:$67</definedName>
    <definedName name="Z_FCC3B493_4306_43B2_9C73_76324485DD47_.wvu.FilterData" localSheetId="6" hidden="1">'MAGDALENA MEDIO'!$A$10:$BR$85</definedName>
    <definedName name="Z_FCC3B493_4306_43B2_9C73_76324485DD47_.wvu.FilterData" localSheetId="7" hidden="1">NORDESTE!$A$11:$W$127</definedName>
    <definedName name="Z_FCC3B493_4306_43B2_9C73_76324485DD47_.wvu.FilterData" localSheetId="2" hidden="1">NORTE!$A$8:$S$264</definedName>
    <definedName name="Z_FCC3B493_4306_43B2_9C73_76324485DD47_.wvu.FilterData" localSheetId="3" hidden="1">OCCIDENTE!$A$10:$W$503</definedName>
    <definedName name="Z_FCC3B493_4306_43B2_9C73_76324485DD47_.wvu.FilterData" localSheetId="8" hidden="1">ORIENTE!$A$11:$W$552</definedName>
    <definedName name="Z_FCC3B493_4306_43B2_9C73_76324485DD47_.wvu.FilterData" localSheetId="4" hidden="1">SUROESTE!$A$10:$IV$520</definedName>
    <definedName name="Z_FCC3B493_4306_43B2_9C73_76324485DD47_.wvu.FilterData" localSheetId="1" hidden="1">URABA!$A$10:$W$113</definedName>
    <definedName name="Z_FCC3B493_4306_43B2_9C73_76324485DD47_.wvu.FilterData" localSheetId="0" hidden="1">'VALLE DE ABURRA'!$A$10:$W$210</definedName>
    <definedName name="Z_FCC3B493_4306_43B2_9C73_76324485DD47_.wvu.PrintTitles" localSheetId="6" hidden="1">'MAGDALENA MEDIO'!$7:$7</definedName>
    <definedName name="Z_FCC3B493_4306_43B2_9C73_76324485DD47_.wvu.Rows" localSheetId="5" hidden="1">'BAJO CAUCA'!$717:$1048576,'BAJO CAUCA'!$644:$716</definedName>
    <definedName name="Z_FCC3B493_4306_43B2_9C73_76324485DD47_.wvu.Rows" localSheetId="7" hidden="1">NORDESTE!$345:$1048576</definedName>
    <definedName name="Z_FCC3B493_4306_43B2_9C73_76324485DD47_.wvu.Rows" localSheetId="2" hidden="1">NORTE!$734:$1048576,NORTE!$327:$481,NORTE!$587:$733</definedName>
    <definedName name="Z_FCC3B493_4306_43B2_9C73_76324485DD47_.wvu.Rows" localSheetId="3" hidden="1">OCCIDENTE!$731:$1048576</definedName>
    <definedName name="Z_FCC3B493_4306_43B2_9C73_76324485DD47_.wvu.Rows" localSheetId="8" hidden="1">ORIENTE!$711:$1048576</definedName>
    <definedName name="Z_FCC3B493_4306_43B2_9C73_76324485DD47_.wvu.Rows" localSheetId="4" hidden="1">SUROESTE!$763:$1048576,SUROESTE!$604:$604,SUROESTE!$755:$757</definedName>
    <definedName name="Z_FCC3B493_4306_43B2_9C73_76324485DD47_.wvu.Rows" localSheetId="1" hidden="1">URABA!$481:$1048576,URABA!$269:$424,URABA!$474:$480</definedName>
  </definedNames>
  <calcPr calcId="191029"/>
  <customWorkbookViews>
    <customWorkbookView name="JHON WILLIAM TABARES MORALES - Vista personalizada" guid="{75DD7674-E7DE-4BB1-A36D-76AA33452CB3}" mergeInterval="0" personalView="1" maximized="1" windowWidth="1596" windowHeight="609" tabRatio="686" activeSheetId="9"/>
    <customWorkbookView name="ERIKA MAYA CORTES - Vista personalizada" guid="{AEDE1BDB-8710-4CDA-8488-31F49D423ACE}" mergeInterval="0" personalView="1" maximized="1" windowWidth="1596" windowHeight="675" tabRatio="690" activeSheetId="11"/>
    <customWorkbookView name="JOHN FERNANDO DIAZ HURTADO - Vista personalizada" guid="{FCC3B493-4306-43B2-9C73-76324485DD47}" mergeInterval="0" personalView="1" maximized="1" windowWidth="1436" windowHeight="675" tabRatio="690" activeSheetId="2"/>
    <customWorkbookView name="ROGELIO DE JESUS LOPEZ - Vista personalizada" guid="{45C8AF51-29EC-46A5-AB7F-1F0634E55D82}" mergeInterval="0" personalView="1" maximized="1" xWindow="-8" yWindow="-8" windowWidth="1616" windowHeight="876" tabRatio="690" activeSheetId="4"/>
  </customWorkbookViews>
</workbook>
</file>

<file path=xl/calcChain.xml><?xml version="1.0" encoding="utf-8"?>
<calcChain xmlns="http://schemas.openxmlformats.org/spreadsheetml/2006/main">
  <c r="Q85" i="8" l="1"/>
  <c r="S80" i="7"/>
  <c r="S81" i="7"/>
  <c r="S82" i="7"/>
  <c r="S83" i="7"/>
  <c r="S84" i="7"/>
  <c r="S85" i="7"/>
  <c r="R80" i="7"/>
  <c r="R81" i="7"/>
  <c r="R82" i="7"/>
  <c r="R83" i="7"/>
  <c r="R84" i="7"/>
  <c r="R85" i="7"/>
  <c r="R73" i="7"/>
  <c r="R74" i="7"/>
  <c r="S79" i="7"/>
  <c r="R79" i="7"/>
  <c r="Q79" i="7"/>
  <c r="Q85" i="5"/>
  <c r="R57" i="5"/>
  <c r="R58" i="5"/>
  <c r="Q57" i="5"/>
  <c r="Q58" i="5"/>
  <c r="S55" i="5"/>
  <c r="R55" i="5"/>
  <c r="Q55" i="5"/>
  <c r="Q489" i="4"/>
  <c r="Q490" i="4"/>
  <c r="Q491" i="4"/>
  <c r="Q492" i="4"/>
  <c r="Q493" i="4"/>
  <c r="Q494" i="4"/>
  <c r="Q495" i="4"/>
  <c r="R495" i="4" s="1"/>
  <c r="Q496" i="4"/>
  <c r="S496" i="4" s="1"/>
  <c r="Q497" i="4"/>
  <c r="Q498" i="4"/>
  <c r="Q499" i="4"/>
  <c r="Q500" i="4"/>
  <c r="S500" i="4" s="1"/>
  <c r="Q501" i="4"/>
  <c r="Q502" i="4"/>
  <c r="Q503" i="4"/>
  <c r="S52" i="4"/>
  <c r="R52" i="4"/>
  <c r="Q52" i="4"/>
  <c r="R96" i="2"/>
  <c r="Q96" i="2"/>
  <c r="R162" i="1"/>
  <c r="R163" i="1"/>
  <c r="R164" i="1"/>
  <c r="R165" i="1"/>
  <c r="R166" i="1"/>
  <c r="R167" i="1"/>
  <c r="R168" i="1"/>
  <c r="R169" i="1"/>
  <c r="R170" i="1"/>
  <c r="Q163" i="1"/>
  <c r="Q164" i="1"/>
  <c r="Q165" i="1"/>
  <c r="Q166" i="1"/>
  <c r="Q167" i="1"/>
  <c r="Q168" i="1"/>
  <c r="Q169" i="1"/>
  <c r="Q170" i="1"/>
  <c r="S70" i="1"/>
  <c r="S71" i="1"/>
  <c r="S72" i="1"/>
  <c r="S73" i="1"/>
  <c r="R70" i="1"/>
  <c r="R71" i="1"/>
  <c r="R72" i="1"/>
  <c r="R73" i="1"/>
  <c r="Q70" i="1"/>
  <c r="Q71" i="1"/>
  <c r="Q72" i="1"/>
  <c r="Q73" i="1"/>
  <c r="S48" i="1"/>
  <c r="S49" i="1"/>
  <c r="R48" i="1"/>
  <c r="R49" i="1"/>
  <c r="Q48" i="1"/>
  <c r="Q49" i="1"/>
  <c r="S44" i="1"/>
  <c r="R44" i="1"/>
  <c r="Q44" i="1"/>
  <c r="Q117" i="3"/>
  <c r="Q115" i="3"/>
  <c r="Q171" i="3"/>
  <c r="Q68" i="8"/>
  <c r="Q348" i="9"/>
  <c r="R348" i="9" s="1"/>
  <c r="Q559" i="9"/>
  <c r="Q558" i="9"/>
  <c r="S558" i="9" s="1"/>
  <c r="Q557" i="9"/>
  <c r="Q556" i="9"/>
  <c r="S556" i="9" s="1"/>
  <c r="Q555" i="9"/>
  <c r="S555" i="9" s="1"/>
  <c r="Q554" i="9"/>
  <c r="S554" i="9" s="1"/>
  <c r="Q553" i="9"/>
  <c r="Q528" i="9"/>
  <c r="Q494" i="9"/>
  <c r="R494" i="9" s="1"/>
  <c r="Q269" i="9"/>
  <c r="S269" i="9" s="1"/>
  <c r="Q268" i="9"/>
  <c r="Q267" i="9"/>
  <c r="S267" i="9" s="1"/>
  <c r="Q266" i="9"/>
  <c r="S266" i="9" s="1"/>
  <c r="Q153" i="9"/>
  <c r="S153" i="9" s="1"/>
  <c r="Q89" i="9"/>
  <c r="Q101" i="8"/>
  <c r="S101" i="8" s="1"/>
  <c r="R101" i="8"/>
  <c r="Q100" i="8"/>
  <c r="R100" i="8" s="1"/>
  <c r="S100" i="8"/>
  <c r="Q99" i="8"/>
  <c r="S99" i="8" s="1"/>
  <c r="Q85" i="7"/>
  <c r="Q84" i="7"/>
  <c r="Q83" i="7"/>
  <c r="Q82" i="7"/>
  <c r="Q81" i="7"/>
  <c r="Q80" i="7"/>
  <c r="Q125" i="5"/>
  <c r="Q126" i="5"/>
  <c r="S126" i="5" s="1"/>
  <c r="Q127" i="5"/>
  <c r="R127" i="5" s="1"/>
  <c r="Q128" i="5"/>
  <c r="R128" i="5" s="1"/>
  <c r="Q129" i="5"/>
  <c r="Q130" i="5"/>
  <c r="S130" i="5" s="1"/>
  <c r="Q131" i="5"/>
  <c r="R131" i="5" s="1"/>
  <c r="Q132" i="5"/>
  <c r="R132" i="5" s="1"/>
  <c r="Q100" i="5"/>
  <c r="Q99" i="5"/>
  <c r="R99" i="5" s="1"/>
  <c r="Q208" i="1"/>
  <c r="R208" i="1" s="1"/>
  <c r="Q210" i="1"/>
  <c r="S210" i="1" s="1"/>
  <c r="Q209" i="1"/>
  <c r="S209" i="1" s="1"/>
  <c r="Q207" i="1"/>
  <c r="S207" i="1" s="1"/>
  <c r="Q206" i="1"/>
  <c r="Q205" i="1"/>
  <c r="Q204" i="1"/>
  <c r="R204" i="1" s="1"/>
  <c r="Q152" i="1"/>
  <c r="R152" i="1" s="1"/>
  <c r="Q151" i="1"/>
  <c r="S151" i="1" s="1"/>
  <c r="Q150" i="1"/>
  <c r="R150" i="1" s="1"/>
  <c r="Q149" i="1"/>
  <c r="S149" i="1" s="1"/>
  <c r="Q148" i="1"/>
  <c r="Q147" i="1"/>
  <c r="Q146" i="1"/>
  <c r="Q145" i="1"/>
  <c r="Q144" i="1"/>
  <c r="Q143" i="1"/>
  <c r="R143" i="1" s="1"/>
  <c r="Q142" i="1"/>
  <c r="R142" i="1" s="1"/>
  <c r="Q141" i="1"/>
  <c r="S141" i="1" s="1"/>
  <c r="Q140" i="1"/>
  <c r="Q139" i="1"/>
  <c r="Q138" i="1"/>
  <c r="Q137" i="1"/>
  <c r="J102" i="1"/>
  <c r="I102" i="1"/>
  <c r="J101" i="1"/>
  <c r="Q101" i="1" s="1"/>
  <c r="S101" i="1" s="1"/>
  <c r="J100" i="1"/>
  <c r="Q100" i="1" s="1"/>
  <c r="J99" i="1"/>
  <c r="I99" i="1"/>
  <c r="J98" i="1"/>
  <c r="I98" i="1"/>
  <c r="J97" i="1"/>
  <c r="J96" i="1"/>
  <c r="Q96" i="1" s="1"/>
  <c r="S96" i="1" s="1"/>
  <c r="J94" i="1"/>
  <c r="Q94" i="1" s="1"/>
  <c r="S94" i="1" s="1"/>
  <c r="J93" i="1"/>
  <c r="Q93" i="1" s="1"/>
  <c r="J92" i="1"/>
  <c r="J91" i="1"/>
  <c r="J90" i="1"/>
  <c r="Q90" i="1" s="1"/>
  <c r="J89" i="1"/>
  <c r="J88" i="1"/>
  <c r="I88" i="1"/>
  <c r="J87" i="1"/>
  <c r="Q87" i="1" s="1"/>
  <c r="S87" i="1" s="1"/>
  <c r="J85" i="1"/>
  <c r="I85" i="1"/>
  <c r="J84" i="1"/>
  <c r="Q488" i="4"/>
  <c r="Q487" i="4"/>
  <c r="Q486" i="4"/>
  <c r="Q485" i="4"/>
  <c r="Q484" i="4"/>
  <c r="Q483" i="4"/>
  <c r="S483" i="4" s="1"/>
  <c r="Q482" i="4"/>
  <c r="Q481" i="4"/>
  <c r="R481" i="4" s="1"/>
  <c r="Q480" i="4"/>
  <c r="Q479" i="4"/>
  <c r="R479" i="4" s="1"/>
  <c r="Q478" i="4"/>
  <c r="Q477" i="4"/>
  <c r="Q476" i="4"/>
  <c r="Q475" i="4"/>
  <c r="S475" i="4" s="1"/>
  <c r="Q474" i="4"/>
  <c r="Q473" i="4"/>
  <c r="R473" i="4" s="1"/>
  <c r="Q472" i="4"/>
  <c r="Q471" i="4"/>
  <c r="S471" i="4" s="1"/>
  <c r="Q470" i="4"/>
  <c r="Q469" i="4"/>
  <c r="Q468" i="4"/>
  <c r="Q467" i="4"/>
  <c r="S467" i="4" s="1"/>
  <c r="Q466" i="4"/>
  <c r="Q465" i="4"/>
  <c r="S465" i="4" s="1"/>
  <c r="Q464" i="4"/>
  <c r="Q463" i="4"/>
  <c r="Q462" i="4"/>
  <c r="Q370" i="4"/>
  <c r="S370" i="4" s="1"/>
  <c r="Q327" i="4"/>
  <c r="R327" i="4" s="1"/>
  <c r="Q292" i="4"/>
  <c r="R292" i="4" s="1"/>
  <c r="Q291" i="4"/>
  <c r="S291" i="4" s="1"/>
  <c r="Q290" i="4"/>
  <c r="S290" i="4" s="1"/>
  <c r="Q289" i="4"/>
  <c r="S289" i="4" s="1"/>
  <c r="Q288" i="4"/>
  <c r="R288" i="4" s="1"/>
  <c r="Q274" i="4"/>
  <c r="Q196" i="4"/>
  <c r="Q107" i="4"/>
  <c r="Q113" i="4"/>
  <c r="S113" i="4" s="1"/>
  <c r="Q224" i="3"/>
  <c r="R224" i="3" s="1"/>
  <c r="Q225" i="3"/>
  <c r="R225" i="3" s="1"/>
  <c r="Q226" i="3"/>
  <c r="R226" i="3" s="1"/>
  <c r="Q227" i="3"/>
  <c r="R227" i="3" s="1"/>
  <c r="Q228" i="3"/>
  <c r="R228" i="3" s="1"/>
  <c r="Q229" i="3"/>
  <c r="R229" i="3" s="1"/>
  <c r="Q230" i="3"/>
  <c r="R230" i="3" s="1"/>
  <c r="Q231" i="3"/>
  <c r="R231" i="3" s="1"/>
  <c r="Q232" i="3"/>
  <c r="S232" i="3" s="1"/>
  <c r="Q89" i="3"/>
  <c r="S89" i="3" s="1"/>
  <c r="Q90" i="3"/>
  <c r="S90" i="3" s="1"/>
  <c r="Q84" i="2"/>
  <c r="Q83" i="2"/>
  <c r="Q82" i="2"/>
  <c r="Q81" i="2"/>
  <c r="Q80" i="2"/>
  <c r="R80" i="2" s="1"/>
  <c r="Q79" i="2"/>
  <c r="Q78" i="2"/>
  <c r="Q19" i="2"/>
  <c r="Q17" i="2"/>
  <c r="B74" i="6"/>
  <c r="B73" i="6"/>
  <c r="J204" i="11" s="1"/>
  <c r="B72" i="6"/>
  <c r="H204" i="11" s="1"/>
  <c r="B71" i="6"/>
  <c r="B70" i="6"/>
  <c r="D204" i="11" s="1"/>
  <c r="Q13" i="1"/>
  <c r="Q40" i="6"/>
  <c r="R40" i="6" s="1"/>
  <c r="Q75" i="8"/>
  <c r="Q76" i="8"/>
  <c r="Q77" i="8"/>
  <c r="Q491" i="9"/>
  <c r="R491" i="9" s="1"/>
  <c r="Q443" i="9"/>
  <c r="R443" i="9" s="1"/>
  <c r="Q444" i="9"/>
  <c r="Q445" i="9"/>
  <c r="Q368" i="9"/>
  <c r="R368" i="9" s="1"/>
  <c r="Q280" i="9"/>
  <c r="S280" i="9" s="1"/>
  <c r="Q289" i="9"/>
  <c r="Q244" i="9"/>
  <c r="Q265" i="9"/>
  <c r="S265" i="9" s="1"/>
  <c r="Q149" i="9"/>
  <c r="Q65" i="9"/>
  <c r="Q357" i="5"/>
  <c r="Q98" i="5"/>
  <c r="S98" i="5" s="1"/>
  <c r="Q369" i="4"/>
  <c r="R369" i="4" s="1"/>
  <c r="Q368" i="4"/>
  <c r="S368" i="4" s="1"/>
  <c r="Q367" i="4"/>
  <c r="S367" i="4" s="1"/>
  <c r="Q326" i="4"/>
  <c r="S326" i="4" s="1"/>
  <c r="Q181" i="3"/>
  <c r="S181" i="3" s="1"/>
  <c r="Q152" i="3"/>
  <c r="Q151" i="3"/>
  <c r="Q20" i="2"/>
  <c r="S20" i="2" s="1"/>
  <c r="Q69" i="1"/>
  <c r="S69" i="1" s="1"/>
  <c r="Q68" i="1"/>
  <c r="Q67" i="1"/>
  <c r="S67" i="1" s="1"/>
  <c r="Q66" i="1"/>
  <c r="Q65" i="1"/>
  <c r="Q64" i="1"/>
  <c r="S64" i="1" s="1"/>
  <c r="Q63" i="1"/>
  <c r="R63" i="1" s="1"/>
  <c r="Q191" i="1"/>
  <c r="S191" i="1" s="1"/>
  <c r="D190" i="1"/>
  <c r="Q62" i="1"/>
  <c r="R62" i="1" s="1"/>
  <c r="Q40" i="1"/>
  <c r="S40" i="1" s="1"/>
  <c r="Q19" i="1"/>
  <c r="S19" i="1" s="1"/>
  <c r="Q17" i="1"/>
  <c r="R17" i="1" s="1"/>
  <c r="Q16" i="1"/>
  <c r="R16" i="1" s="1"/>
  <c r="Q15" i="1"/>
  <c r="S15" i="1" s="1"/>
  <c r="Q14" i="1"/>
  <c r="S14" i="1" s="1"/>
  <c r="Q20" i="1"/>
  <c r="S20" i="1" s="1"/>
  <c r="Q33" i="1"/>
  <c r="R33" i="1" s="1"/>
  <c r="Q23" i="1"/>
  <c r="R23" i="1" s="1"/>
  <c r="S159" i="3"/>
  <c r="S160" i="3"/>
  <c r="S161" i="3"/>
  <c r="S162" i="3"/>
  <c r="S163" i="1"/>
  <c r="S164" i="1"/>
  <c r="S165" i="1"/>
  <c r="S166" i="1"/>
  <c r="S167" i="1"/>
  <c r="S168" i="1"/>
  <c r="S169" i="1"/>
  <c r="S170" i="1"/>
  <c r="Q436" i="9"/>
  <c r="R436" i="9" s="1"/>
  <c r="Q426" i="9"/>
  <c r="R426" i="9" s="1"/>
  <c r="Q425" i="9"/>
  <c r="S425" i="9" s="1"/>
  <c r="Q333" i="9"/>
  <c r="Q332" i="9"/>
  <c r="R332" i="9" s="1"/>
  <c r="Q108" i="9"/>
  <c r="R108" i="9" s="1"/>
  <c r="Q106" i="9"/>
  <c r="S106" i="9" s="1"/>
  <c r="Q68" i="9"/>
  <c r="S68" i="9" s="1"/>
  <c r="Q67" i="9"/>
  <c r="Q66" i="9"/>
  <c r="S66" i="9" s="1"/>
  <c r="Q94" i="4"/>
  <c r="R94" i="4" s="1"/>
  <c r="R161" i="3"/>
  <c r="Q41" i="2"/>
  <c r="S41" i="2" s="1"/>
  <c r="Q128" i="1"/>
  <c r="R128" i="1" s="1"/>
  <c r="Q534" i="9"/>
  <c r="S534" i="9" s="1"/>
  <c r="Q533" i="9"/>
  <c r="S533" i="9" s="1"/>
  <c r="Q488" i="9"/>
  <c r="S488" i="9" s="1"/>
  <c r="Q202" i="9"/>
  <c r="S202" i="9" s="1"/>
  <c r="Q147" i="9"/>
  <c r="S147" i="9" s="1"/>
  <c r="Q146" i="9"/>
  <c r="S146" i="9" s="1"/>
  <c r="Q145" i="9"/>
  <c r="S145" i="9" s="1"/>
  <c r="Q148" i="9"/>
  <c r="Q144" i="9"/>
  <c r="S144" i="9" s="1"/>
  <c r="Q143" i="9"/>
  <c r="S143" i="9" s="1"/>
  <c r="Q125" i="8"/>
  <c r="S125" i="8" s="1"/>
  <c r="Q63" i="8"/>
  <c r="R63" i="8" s="1"/>
  <c r="Q23" i="7"/>
  <c r="R23" i="7" s="1"/>
  <c r="S23" i="7"/>
  <c r="Q38" i="6"/>
  <c r="S38" i="6" s="1"/>
  <c r="Q94" i="5"/>
  <c r="Q93" i="5"/>
  <c r="S93" i="5" s="1"/>
  <c r="Q91" i="5"/>
  <c r="S91" i="5" s="1"/>
  <c r="Q92" i="5"/>
  <c r="S92" i="5" s="1"/>
  <c r="Q90" i="5"/>
  <c r="S90" i="5" s="1"/>
  <c r="Q89" i="5"/>
  <c r="S89" i="5" s="1"/>
  <c r="Q88" i="5"/>
  <c r="S88" i="5" s="1"/>
  <c r="Q84" i="5"/>
  <c r="Q83" i="5"/>
  <c r="S83" i="5" s="1"/>
  <c r="Q79" i="5"/>
  <c r="S79" i="5" s="1"/>
  <c r="Q78" i="5"/>
  <c r="R78" i="5" s="1"/>
  <c r="Q77" i="5"/>
  <c r="S77" i="5" s="1"/>
  <c r="Q73" i="5"/>
  <c r="S73" i="5" s="1"/>
  <c r="Q70" i="5"/>
  <c r="R70" i="5" s="1"/>
  <c r="Q69" i="5"/>
  <c r="S69" i="5" s="1"/>
  <c r="Q68" i="5"/>
  <c r="Q65" i="5"/>
  <c r="S65" i="5" s="1"/>
  <c r="Q62" i="5"/>
  <c r="S62" i="5" s="1"/>
  <c r="Q59" i="5"/>
  <c r="S59" i="5" s="1"/>
  <c r="Q54" i="5"/>
  <c r="S54" i="5" s="1"/>
  <c r="Q53" i="5"/>
  <c r="S53" i="5" s="1"/>
  <c r="Q52" i="5"/>
  <c r="R52" i="5" s="1"/>
  <c r="Q51" i="5"/>
  <c r="R51" i="5" s="1"/>
  <c r="Q50" i="5"/>
  <c r="S50" i="5" s="1"/>
  <c r="Q48" i="5"/>
  <c r="R48" i="5" s="1"/>
  <c r="Q508" i="5"/>
  <c r="S508" i="5" s="1"/>
  <c r="Q497" i="5"/>
  <c r="Q496" i="5"/>
  <c r="S496" i="5" s="1"/>
  <c r="Q443" i="5"/>
  <c r="R443" i="5" s="1"/>
  <c r="Q442" i="5"/>
  <c r="R442" i="5" s="1"/>
  <c r="Q441" i="5"/>
  <c r="R441" i="5" s="1"/>
  <c r="Q440" i="5"/>
  <c r="R440" i="5" s="1"/>
  <c r="Q439" i="5"/>
  <c r="R439" i="5" s="1"/>
  <c r="Q242" i="5"/>
  <c r="S242" i="5" s="1"/>
  <c r="Q282" i="4"/>
  <c r="R282" i="4" s="1"/>
  <c r="Q272" i="4"/>
  <c r="S272" i="4" s="1"/>
  <c r="Q271" i="4"/>
  <c r="S271" i="4" s="1"/>
  <c r="Q250" i="4"/>
  <c r="S250" i="4" s="1"/>
  <c r="Q249" i="4"/>
  <c r="R249" i="4" s="1"/>
  <c r="Q163" i="4"/>
  <c r="R163" i="4" s="1"/>
  <c r="Q162" i="4"/>
  <c r="R162" i="4" s="1"/>
  <c r="Q160" i="4"/>
  <c r="R160" i="4" s="1"/>
  <c r="Q131" i="4"/>
  <c r="R131" i="4" s="1"/>
  <c r="Q104" i="4"/>
  <c r="S104" i="4" s="1"/>
  <c r="Q103" i="4"/>
  <c r="S103" i="4" s="1"/>
  <c r="Q102" i="4"/>
  <c r="S102" i="4" s="1"/>
  <c r="Q101" i="4"/>
  <c r="S101" i="4" s="1"/>
  <c r="Q100" i="4"/>
  <c r="S100" i="4" s="1"/>
  <c r="Q99" i="4"/>
  <c r="S99" i="4" s="1"/>
  <c r="Q98" i="4"/>
  <c r="S98" i="4" s="1"/>
  <c r="Q97" i="4"/>
  <c r="R97" i="4" s="1"/>
  <c r="Q96" i="4"/>
  <c r="S96" i="4" s="1"/>
  <c r="Q105" i="4"/>
  <c r="S105" i="4" s="1"/>
  <c r="Q55" i="3"/>
  <c r="S55" i="3" s="1"/>
  <c r="Q105" i="2"/>
  <c r="R105" i="2" s="1"/>
  <c r="Q103" i="1"/>
  <c r="R103" i="1" s="1"/>
  <c r="Q153" i="1"/>
  <c r="S153" i="1" s="1"/>
  <c r="S254" i="9"/>
  <c r="S252" i="4"/>
  <c r="S253" i="4"/>
  <c r="S254" i="4"/>
  <c r="S255" i="4"/>
  <c r="S256" i="4"/>
  <c r="S257" i="4"/>
  <c r="S260" i="4"/>
  <c r="S262" i="4"/>
  <c r="S265" i="4"/>
  <c r="S96" i="2"/>
  <c r="Q44" i="7"/>
  <c r="R44" i="7" s="1"/>
  <c r="Q19" i="8"/>
  <c r="S19" i="8" s="1"/>
  <c r="Q18" i="8"/>
  <c r="R18" i="8" s="1"/>
  <c r="Q415" i="9"/>
  <c r="R415" i="9" s="1"/>
  <c r="Q416" i="9"/>
  <c r="S416" i="9" s="1"/>
  <c r="Q417" i="9"/>
  <c r="S417" i="9" s="1"/>
  <c r="Q414" i="9"/>
  <c r="S414" i="9" s="1"/>
  <c r="Q413" i="9"/>
  <c r="R413" i="9" s="1"/>
  <c r="Q412" i="9"/>
  <c r="R412" i="9" s="1"/>
  <c r="Q411" i="9"/>
  <c r="S411" i="9" s="1"/>
  <c r="Q410" i="9"/>
  <c r="S410" i="9" s="1"/>
  <c r="Q409" i="9"/>
  <c r="R409" i="9" s="1"/>
  <c r="Q408" i="9"/>
  <c r="S408" i="9" s="1"/>
  <c r="Q407" i="9"/>
  <c r="R407" i="9" s="1"/>
  <c r="B135" i="8"/>
  <c r="B75" i="6"/>
  <c r="B76" i="6" s="1"/>
  <c r="B529" i="5"/>
  <c r="B272" i="3"/>
  <c r="L201" i="11" s="1"/>
  <c r="B273" i="3"/>
  <c r="B128" i="2"/>
  <c r="B567" i="9"/>
  <c r="B566" i="9"/>
  <c r="L207" i="11" s="1"/>
  <c r="B565" i="9"/>
  <c r="J207" i="11" s="1"/>
  <c r="B564" i="9"/>
  <c r="H207" i="11" s="1"/>
  <c r="B563" i="9"/>
  <c r="F207" i="11" s="1"/>
  <c r="B562" i="9"/>
  <c r="D207" i="11" s="1"/>
  <c r="B134" i="8"/>
  <c r="L206" i="11" s="1"/>
  <c r="B133" i="8"/>
  <c r="J206" i="11" s="1"/>
  <c r="B132" i="8"/>
  <c r="H206" i="11" s="1"/>
  <c r="B131" i="8"/>
  <c r="F206" i="11" s="1"/>
  <c r="B130" i="8"/>
  <c r="D206" i="11" s="1"/>
  <c r="B93" i="7"/>
  <c r="B92" i="7"/>
  <c r="L205" i="11" s="1"/>
  <c r="B91" i="7"/>
  <c r="J205" i="11" s="1"/>
  <c r="B90" i="7"/>
  <c r="H205" i="11" s="1"/>
  <c r="B89" i="7"/>
  <c r="F205" i="11" s="1"/>
  <c r="B88" i="7"/>
  <c r="B94" i="7" s="1"/>
  <c r="L204" i="11"/>
  <c r="F204" i="11"/>
  <c r="B528" i="5"/>
  <c r="L203" i="11" s="1"/>
  <c r="B527" i="5"/>
  <c r="J203" i="11" s="1"/>
  <c r="B526" i="5"/>
  <c r="H203" i="11" s="1"/>
  <c r="B525" i="5"/>
  <c r="F203" i="11" s="1"/>
  <c r="B524" i="5"/>
  <c r="D203" i="11" s="1"/>
  <c r="B271" i="3"/>
  <c r="J201" i="11" s="1"/>
  <c r="B270" i="3"/>
  <c r="H201" i="11" s="1"/>
  <c r="B269" i="3"/>
  <c r="F201" i="11" s="1"/>
  <c r="B268" i="3"/>
  <c r="D201" i="11" s="1"/>
  <c r="B126" i="2"/>
  <c r="J200" i="11" s="1"/>
  <c r="B125" i="2"/>
  <c r="H200" i="11" s="1"/>
  <c r="B124" i="2"/>
  <c r="F200" i="11" s="1"/>
  <c r="B127" i="2"/>
  <c r="L200" i="11" s="1"/>
  <c r="B123" i="2"/>
  <c r="D200" i="11" s="1"/>
  <c r="D94" i="10"/>
  <c r="B132" i="11" s="1"/>
  <c r="D93" i="10"/>
  <c r="B133" i="11" s="1"/>
  <c r="Q11" i="6"/>
  <c r="S11" i="6" s="1"/>
  <c r="Q67" i="6"/>
  <c r="S67" i="6" s="1"/>
  <c r="Q64" i="6"/>
  <c r="S64" i="6" s="1"/>
  <c r="Q60" i="6"/>
  <c r="S60" i="6" s="1"/>
  <c r="Q58" i="6"/>
  <c r="R58" i="6" s="1"/>
  <c r="Q52" i="6"/>
  <c r="S52" i="6" s="1"/>
  <c r="Q51" i="6"/>
  <c r="S51" i="6" s="1"/>
  <c r="Q50" i="6"/>
  <c r="R50" i="6" s="1"/>
  <c r="Q49" i="6"/>
  <c r="R49" i="6" s="1"/>
  <c r="Q48" i="6"/>
  <c r="S48" i="6" s="1"/>
  <c r="Q47" i="6"/>
  <c r="S47" i="6" s="1"/>
  <c r="Q46" i="6"/>
  <c r="S46" i="6" s="1"/>
  <c r="Q45" i="6"/>
  <c r="S45" i="6" s="1"/>
  <c r="Q44" i="6"/>
  <c r="S44" i="6" s="1"/>
  <c r="Q42" i="6"/>
  <c r="S42" i="6" s="1"/>
  <c r="Q41" i="6"/>
  <c r="S41" i="6" s="1"/>
  <c r="Q39" i="6"/>
  <c r="S39" i="6" s="1"/>
  <c r="Q37" i="6"/>
  <c r="S37" i="6" s="1"/>
  <c r="Q17" i="6"/>
  <c r="S17" i="6" s="1"/>
  <c r="Q16" i="6"/>
  <c r="S16" i="6"/>
  <c r="Q15" i="6"/>
  <c r="S15" i="6" s="1"/>
  <c r="Q14" i="6"/>
  <c r="R14" i="6" s="1"/>
  <c r="Q13" i="6"/>
  <c r="S13" i="6" s="1"/>
  <c r="Q12" i="6"/>
  <c r="S12" i="6" s="1"/>
  <c r="Q36" i="6"/>
  <c r="S36" i="6" s="1"/>
  <c r="Q35" i="6"/>
  <c r="R35" i="6" s="1"/>
  <c r="Q34" i="6"/>
  <c r="S34" i="6" s="1"/>
  <c r="Q32" i="6"/>
  <c r="R32" i="6" s="1"/>
  <c r="Q31" i="6"/>
  <c r="R31" i="6" s="1"/>
  <c r="Q30" i="6"/>
  <c r="S30" i="6" s="1"/>
  <c r="Q29" i="6"/>
  <c r="S29" i="6" s="1"/>
  <c r="Q28" i="6"/>
  <c r="S28" i="6" s="1"/>
  <c r="Q26" i="6"/>
  <c r="S26" i="6" s="1"/>
  <c r="Q25" i="6"/>
  <c r="S25" i="6" s="1"/>
  <c r="Q24" i="6"/>
  <c r="S24" i="6" s="1"/>
  <c r="Q23" i="6"/>
  <c r="S23" i="6" s="1"/>
  <c r="Q22" i="6"/>
  <c r="S22" i="6" s="1"/>
  <c r="Q21" i="6"/>
  <c r="S21" i="6" s="1"/>
  <c r="Q20" i="6"/>
  <c r="S20" i="6" s="1"/>
  <c r="Q19" i="6"/>
  <c r="S19" i="6" s="1"/>
  <c r="Q18" i="6"/>
  <c r="S18" i="6" s="1"/>
  <c r="D74" i="10"/>
  <c r="B108" i="11" s="1"/>
  <c r="Q272" i="5"/>
  <c r="S272" i="5" s="1"/>
  <c r="Q262" i="5"/>
  <c r="S262" i="5" s="1"/>
  <c r="Q193" i="5"/>
  <c r="S193" i="5" s="1"/>
  <c r="Q30" i="5"/>
  <c r="S30" i="5" s="1"/>
  <c r="Q12" i="5"/>
  <c r="S12" i="5" s="1"/>
  <c r="Q13" i="5"/>
  <c r="S13" i="5" s="1"/>
  <c r="Q14" i="5"/>
  <c r="S14" i="5" s="1"/>
  <c r="Q15" i="5"/>
  <c r="S15" i="5" s="1"/>
  <c r="Q16" i="5"/>
  <c r="R16" i="5" s="1"/>
  <c r="Q17" i="5"/>
  <c r="S17" i="5" s="1"/>
  <c r="Q18" i="5"/>
  <c r="S18" i="5" s="1"/>
  <c r="Q19" i="5"/>
  <c r="S19" i="5" s="1"/>
  <c r="Q20" i="5"/>
  <c r="S20" i="5" s="1"/>
  <c r="Q21" i="5"/>
  <c r="S21" i="5" s="1"/>
  <c r="Q22" i="5"/>
  <c r="S22" i="5" s="1"/>
  <c r="Q23" i="5"/>
  <c r="S23" i="5" s="1"/>
  <c r="Q24" i="5"/>
  <c r="R24" i="5" s="1"/>
  <c r="Q25" i="5"/>
  <c r="S25" i="5" s="1"/>
  <c r="Q26" i="5"/>
  <c r="S26" i="5" s="1"/>
  <c r="Q27" i="5"/>
  <c r="R27" i="5" s="1"/>
  <c r="Q28" i="5"/>
  <c r="S28" i="5" s="1"/>
  <c r="Q29" i="5"/>
  <c r="S29" i="5" s="1"/>
  <c r="Q31" i="5"/>
  <c r="S31" i="5" s="1"/>
  <c r="Q32" i="5"/>
  <c r="R32" i="5" s="1"/>
  <c r="Q33" i="5"/>
  <c r="R33" i="5" s="1"/>
  <c r="Q34" i="5"/>
  <c r="S34" i="5" s="1"/>
  <c r="Q35" i="5"/>
  <c r="S35" i="5" s="1"/>
  <c r="Q36" i="5"/>
  <c r="R36" i="5" s="1"/>
  <c r="Q37" i="5"/>
  <c r="S37" i="5" s="1"/>
  <c r="Q38" i="5"/>
  <c r="S38" i="5" s="1"/>
  <c r="Q39" i="5"/>
  <c r="S39" i="5" s="1"/>
  <c r="Q40" i="5"/>
  <c r="R40" i="5" s="1"/>
  <c r="Q41" i="5"/>
  <c r="S41" i="5" s="1"/>
  <c r="Q42" i="5"/>
  <c r="S42" i="5" s="1"/>
  <c r="Q43" i="5"/>
  <c r="S43" i="5" s="1"/>
  <c r="Q44" i="5"/>
  <c r="S44" i="5" s="1"/>
  <c r="Q45" i="5"/>
  <c r="S45" i="5" s="1"/>
  <c r="Q46" i="5"/>
  <c r="S46" i="5" s="1"/>
  <c r="Q47" i="5"/>
  <c r="S47" i="5" s="1"/>
  <c r="Q49" i="5"/>
  <c r="S49" i="5" s="1"/>
  <c r="S52" i="5"/>
  <c r="Q63" i="5"/>
  <c r="S63" i="5" s="1"/>
  <c r="Q66" i="5"/>
  <c r="R66" i="5" s="1"/>
  <c r="Q71" i="5"/>
  <c r="R71" i="5" s="1"/>
  <c r="Q72" i="5"/>
  <c r="S72" i="5" s="1"/>
  <c r="Q74" i="5"/>
  <c r="S74" i="5" s="1"/>
  <c r="Q76" i="5"/>
  <c r="S76" i="5" s="1"/>
  <c r="S80" i="5"/>
  <c r="Q82" i="5"/>
  <c r="S82" i="5" s="1"/>
  <c r="S84" i="5"/>
  <c r="Q86" i="5"/>
  <c r="S86" i="5" s="1"/>
  <c r="Q87" i="5"/>
  <c r="S87" i="5" s="1"/>
  <c r="Q95" i="5"/>
  <c r="S95" i="5" s="1"/>
  <c r="Q101" i="5"/>
  <c r="S101" i="5" s="1"/>
  <c r="Q102" i="5"/>
  <c r="S102" i="5" s="1"/>
  <c r="Q103" i="5"/>
  <c r="S103" i="5" s="1"/>
  <c r="Q104" i="5"/>
  <c r="S104" i="5" s="1"/>
  <c r="Q105" i="5"/>
  <c r="S105" i="5" s="1"/>
  <c r="Q106" i="5"/>
  <c r="S106" i="5" s="1"/>
  <c r="Q107" i="5"/>
  <c r="S107" i="5" s="1"/>
  <c r="Q108" i="5"/>
  <c r="R108" i="5" s="1"/>
  <c r="Q109" i="5"/>
  <c r="S109" i="5" s="1"/>
  <c r="Q110" i="5"/>
  <c r="S110" i="5" s="1"/>
  <c r="Q111" i="5"/>
  <c r="S111" i="5" s="1"/>
  <c r="Q112" i="5"/>
  <c r="S112" i="5" s="1"/>
  <c r="Q113" i="5"/>
  <c r="S113" i="5" s="1"/>
  <c r="Q114" i="5"/>
  <c r="S114" i="5" s="1"/>
  <c r="Q115" i="5"/>
  <c r="S115" i="5" s="1"/>
  <c r="Q116" i="5"/>
  <c r="S116" i="5" s="1"/>
  <c r="Q117" i="5"/>
  <c r="S117" i="5" s="1"/>
  <c r="Q118" i="5"/>
  <c r="S118" i="5" s="1"/>
  <c r="Q119" i="5"/>
  <c r="S119" i="5" s="1"/>
  <c r="Q120" i="5"/>
  <c r="S120" i="5" s="1"/>
  <c r="Q121" i="5"/>
  <c r="S121" i="5" s="1"/>
  <c r="Q122" i="5"/>
  <c r="S122" i="5" s="1"/>
  <c r="Q123" i="5"/>
  <c r="S123" i="5" s="1"/>
  <c r="D60" i="10"/>
  <c r="B90" i="11" s="1"/>
  <c r="R20" i="6"/>
  <c r="R52" i="6"/>
  <c r="R25" i="6"/>
  <c r="R45" i="6"/>
  <c r="R11" i="6"/>
  <c r="R46" i="6"/>
  <c r="R19" i="6"/>
  <c r="R16" i="6"/>
  <c r="R89" i="5"/>
  <c r="S85" i="5"/>
  <c r="R85" i="5"/>
  <c r="S81" i="5"/>
  <c r="R81" i="5"/>
  <c r="S70" i="5"/>
  <c r="R84" i="5"/>
  <c r="R69" i="5"/>
  <c r="R54" i="5"/>
  <c r="R18" i="5"/>
  <c r="S68" i="5"/>
  <c r="R68" i="5"/>
  <c r="R53" i="5"/>
  <c r="R34" i="5"/>
  <c r="R88" i="5"/>
  <c r="R80" i="5"/>
  <c r="D35" i="10"/>
  <c r="Q148" i="3"/>
  <c r="S148" i="3" s="1"/>
  <c r="Q149" i="3"/>
  <c r="S149" i="3" s="1"/>
  <c r="Q158" i="3"/>
  <c r="S158" i="3" s="1"/>
  <c r="D8" i="10"/>
  <c r="B24" i="11" s="1"/>
  <c r="D140" i="10"/>
  <c r="B193" i="11" s="1"/>
  <c r="D138" i="10"/>
  <c r="B191" i="11" s="1"/>
  <c r="D137" i="10"/>
  <c r="B190" i="11" s="1"/>
  <c r="D136" i="10"/>
  <c r="B189" i="11" s="1"/>
  <c r="D133" i="10"/>
  <c r="B186" i="11" s="1"/>
  <c r="D131" i="10"/>
  <c r="B184" i="11" s="1"/>
  <c r="D126" i="10"/>
  <c r="B179" i="11" s="1"/>
  <c r="D125" i="10"/>
  <c r="B178" i="11" s="1"/>
  <c r="D122" i="10"/>
  <c r="B175" i="11" s="1"/>
  <c r="D116" i="10"/>
  <c r="B164" i="11" s="1"/>
  <c r="D115" i="10"/>
  <c r="D114" i="10"/>
  <c r="B162" i="11" s="1"/>
  <c r="D108" i="10"/>
  <c r="B156" i="11" s="1"/>
  <c r="D105" i="10"/>
  <c r="B148" i="11" s="1"/>
  <c r="D102" i="10"/>
  <c r="B145" i="11" s="1"/>
  <c r="D100" i="10"/>
  <c r="D98" i="10"/>
  <c r="B137" i="11" s="1"/>
  <c r="D97" i="10"/>
  <c r="B136" i="11" s="1"/>
  <c r="D96" i="10"/>
  <c r="B135" i="11" s="1"/>
  <c r="D91" i="10"/>
  <c r="B125" i="11" s="1"/>
  <c r="D90" i="10"/>
  <c r="D88" i="10"/>
  <c r="B122" i="11" s="1"/>
  <c r="D86" i="10"/>
  <c r="B120" i="11" s="1"/>
  <c r="D85" i="10"/>
  <c r="D84" i="10"/>
  <c r="D82" i="10"/>
  <c r="B116" i="11" s="1"/>
  <c r="D80" i="10"/>
  <c r="B114" i="11" s="1"/>
  <c r="D79" i="10"/>
  <c r="B113" i="11" s="1"/>
  <c r="D75" i="10"/>
  <c r="D71" i="10"/>
  <c r="B105" i="11" s="1"/>
  <c r="D69" i="10"/>
  <c r="B103" i="11" s="1"/>
  <c r="D67" i="10"/>
  <c r="B97" i="11" s="1"/>
  <c r="D66" i="10"/>
  <c r="B96" i="11" s="1"/>
  <c r="D65" i="10"/>
  <c r="B95" i="11" s="1"/>
  <c r="D61" i="10"/>
  <c r="B91" i="11" s="1"/>
  <c r="D64" i="10"/>
  <c r="B94" i="11" s="1"/>
  <c r="D57" i="10"/>
  <c r="B87" i="11" s="1"/>
  <c r="D56" i="10"/>
  <c r="B86" i="11" s="1"/>
  <c r="D55" i="10"/>
  <c r="B85" i="11" s="1"/>
  <c r="D49" i="10"/>
  <c r="B79" i="11" s="1"/>
  <c r="D50" i="10"/>
  <c r="B80" i="11" s="1"/>
  <c r="D47" i="10"/>
  <c r="B72" i="11" s="1"/>
  <c r="D42" i="10"/>
  <c r="B67" i="11" s="1"/>
  <c r="D41" i="10"/>
  <c r="B66" i="11" s="1"/>
  <c r="D39" i="10"/>
  <c r="B64" i="11" s="1"/>
  <c r="D38" i="10"/>
  <c r="B63" i="11" s="1"/>
  <c r="D37" i="10"/>
  <c r="B62" i="11" s="1"/>
  <c r="D36" i="10"/>
  <c r="B61" i="11" s="1"/>
  <c r="D34" i="10"/>
  <c r="B59" i="11" s="1"/>
  <c r="D27" i="10"/>
  <c r="B47" i="11" s="1"/>
  <c r="D25" i="10"/>
  <c r="D29" i="10"/>
  <c r="D26" i="10"/>
  <c r="B46" i="11" s="1"/>
  <c r="D24" i="10"/>
  <c r="B44" i="11" s="1"/>
  <c r="D22" i="10"/>
  <c r="D23" i="10"/>
  <c r="B43" i="11" s="1"/>
  <c r="D53" i="10"/>
  <c r="B83" i="11" s="1"/>
  <c r="D54" i="10"/>
  <c r="B84" i="11" s="1"/>
  <c r="D52" i="10"/>
  <c r="B82" i="11" s="1"/>
  <c r="D19" i="10"/>
  <c r="B39" i="11" s="1"/>
  <c r="F58" i="11"/>
  <c r="D121" i="10"/>
  <c r="B174" i="11" s="1"/>
  <c r="D118" i="10"/>
  <c r="B171" i="11" s="1"/>
  <c r="L172" i="11"/>
  <c r="D67" i="11"/>
  <c r="D46" i="10"/>
  <c r="B71" i="11" s="1"/>
  <c r="D45" i="10"/>
  <c r="B70" i="11" s="1"/>
  <c r="D44" i="10"/>
  <c r="B69" i="11" s="1"/>
  <c r="D43" i="10"/>
  <c r="B68" i="11" s="1"/>
  <c r="D40" i="10"/>
  <c r="B65" i="11" s="1"/>
  <c r="Q181" i="1"/>
  <c r="R181" i="1" s="1"/>
  <c r="Q180" i="1"/>
  <c r="R180" i="1" s="1"/>
  <c r="Q179" i="1"/>
  <c r="R179" i="1" s="1"/>
  <c r="Q178" i="1"/>
  <c r="S178" i="1" s="1"/>
  <c r="Q177" i="1"/>
  <c r="R177" i="1" s="1"/>
  <c r="Q176" i="1"/>
  <c r="S176" i="1" s="1"/>
  <c r="Q175" i="1"/>
  <c r="R175" i="1" s="1"/>
  <c r="Q174" i="1"/>
  <c r="S174" i="1" s="1"/>
  <c r="Q173" i="1"/>
  <c r="R173" i="1" s="1"/>
  <c r="Q172" i="1"/>
  <c r="S172" i="1" s="1"/>
  <c r="Q171" i="1"/>
  <c r="R171" i="1" s="1"/>
  <c r="S206" i="1"/>
  <c r="S205" i="1"/>
  <c r="S204" i="1"/>
  <c r="R206" i="1"/>
  <c r="R207" i="1"/>
  <c r="R205" i="1"/>
  <c r="Q123" i="1"/>
  <c r="S123" i="1" s="1"/>
  <c r="Q124" i="1"/>
  <c r="S124" i="1" s="1"/>
  <c r="Q125" i="1"/>
  <c r="S125" i="1" s="1"/>
  <c r="Q126" i="1"/>
  <c r="Q127" i="1"/>
  <c r="R127" i="1" s="1"/>
  <c r="Q129" i="1"/>
  <c r="R129" i="1" s="1"/>
  <c r="Q130" i="1"/>
  <c r="S130" i="1" s="1"/>
  <c r="Q131" i="1"/>
  <c r="S131" i="1" s="1"/>
  <c r="Q132" i="1"/>
  <c r="S132" i="1" s="1"/>
  <c r="Q133" i="1"/>
  <c r="S133" i="1" s="1"/>
  <c r="Q134" i="1"/>
  <c r="S134" i="1" s="1"/>
  <c r="Q135" i="1"/>
  <c r="R135" i="1" s="1"/>
  <c r="Q136" i="1"/>
  <c r="R136" i="1" s="1"/>
  <c r="Q122" i="1"/>
  <c r="R122" i="1" s="1"/>
  <c r="Q61" i="1"/>
  <c r="S61" i="1" s="1"/>
  <c r="Q60" i="1"/>
  <c r="R60" i="1" s="1"/>
  <c r="Q59" i="1"/>
  <c r="Q58" i="1"/>
  <c r="S58" i="1" s="1"/>
  <c r="Q57" i="1"/>
  <c r="S57" i="1" s="1"/>
  <c r="Q56" i="1"/>
  <c r="S56" i="1" s="1"/>
  <c r="Q55" i="1"/>
  <c r="Q54" i="1"/>
  <c r="Q53" i="1"/>
  <c r="R53" i="1" s="1"/>
  <c r="Q52" i="1"/>
  <c r="R52" i="1" s="1"/>
  <c r="Q51" i="1"/>
  <c r="R51" i="1" s="1"/>
  <c r="Q47" i="1"/>
  <c r="S47" i="1" s="1"/>
  <c r="Q46" i="1"/>
  <c r="R46" i="1" s="1"/>
  <c r="Q45" i="1"/>
  <c r="Q43" i="1"/>
  <c r="R43" i="1" s="1"/>
  <c r="Q42" i="1"/>
  <c r="Q41" i="1"/>
  <c r="S41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S34" i="1" s="1"/>
  <c r="Q31" i="1"/>
  <c r="S31" i="1" s="1"/>
  <c r="Q30" i="1"/>
  <c r="S30" i="1" s="1"/>
  <c r="Q29" i="1"/>
  <c r="R29" i="1" s="1"/>
  <c r="Q27" i="1"/>
  <c r="S27" i="1" s="1"/>
  <c r="Q26" i="1"/>
  <c r="R26" i="1" s="1"/>
  <c r="Q25" i="1"/>
  <c r="S25" i="1" s="1"/>
  <c r="Q24" i="1"/>
  <c r="S24" i="1" s="1"/>
  <c r="Q22" i="1"/>
  <c r="S22" i="1" s="1"/>
  <c r="Q21" i="1"/>
  <c r="R21" i="1" s="1"/>
  <c r="Q18" i="1"/>
  <c r="R18" i="1" s="1"/>
  <c r="Q12" i="1"/>
  <c r="R12" i="1" s="1"/>
  <c r="Q11" i="1"/>
  <c r="R11" i="1" s="1"/>
  <c r="Q83" i="1"/>
  <c r="R83" i="1" s="1"/>
  <c r="Q81" i="1"/>
  <c r="S81" i="1" s="1"/>
  <c r="Q80" i="1"/>
  <c r="R80" i="1" s="1"/>
  <c r="Q79" i="1"/>
  <c r="R79" i="1" s="1"/>
  <c r="Q78" i="1"/>
  <c r="S78" i="1" s="1"/>
  <c r="Q77" i="1"/>
  <c r="S77" i="1" s="1"/>
  <c r="Q76" i="1"/>
  <c r="S76" i="1" s="1"/>
  <c r="Q75" i="1"/>
  <c r="R75" i="1" s="1"/>
  <c r="Q74" i="1"/>
  <c r="R74" i="1" s="1"/>
  <c r="Q121" i="1"/>
  <c r="S121" i="1" s="1"/>
  <c r="Q120" i="1"/>
  <c r="Q119" i="1"/>
  <c r="Q118" i="1"/>
  <c r="R118" i="1" s="1"/>
  <c r="Q117" i="1"/>
  <c r="R117" i="1" s="1"/>
  <c r="Q116" i="1"/>
  <c r="S116" i="1" s="1"/>
  <c r="Q115" i="1"/>
  <c r="R115" i="1" s="1"/>
  <c r="Q114" i="1"/>
  <c r="R114" i="1" s="1"/>
  <c r="Q113" i="1"/>
  <c r="Q112" i="1"/>
  <c r="Q111" i="1"/>
  <c r="R111" i="1" s="1"/>
  <c r="Q110" i="1"/>
  <c r="R110" i="1" s="1"/>
  <c r="Q109" i="1"/>
  <c r="S109" i="1" s="1"/>
  <c r="Q108" i="1"/>
  <c r="S108" i="1" s="1"/>
  <c r="Q107" i="1"/>
  <c r="S107" i="1" s="1"/>
  <c r="Q106" i="1"/>
  <c r="R106" i="1" s="1"/>
  <c r="Q105" i="1"/>
  <c r="S105" i="1" s="1"/>
  <c r="Q104" i="1"/>
  <c r="S104" i="1" s="1"/>
  <c r="Q162" i="1"/>
  <c r="Q161" i="1"/>
  <c r="R161" i="1" s="1"/>
  <c r="Q160" i="1"/>
  <c r="R160" i="1" s="1"/>
  <c r="Q159" i="1"/>
  <c r="S159" i="1" s="1"/>
  <c r="Q158" i="1"/>
  <c r="S158" i="1" s="1"/>
  <c r="Q157" i="1"/>
  <c r="R157" i="1" s="1"/>
  <c r="Q156" i="1"/>
  <c r="S156" i="1" s="1"/>
  <c r="Q155" i="1"/>
  <c r="R155" i="1" s="1"/>
  <c r="Q154" i="1"/>
  <c r="S154" i="1" s="1"/>
  <c r="S148" i="1"/>
  <c r="S147" i="1"/>
  <c r="S146" i="1"/>
  <c r="S145" i="1"/>
  <c r="S144" i="1"/>
  <c r="S140" i="1"/>
  <c r="S139" i="1"/>
  <c r="S138" i="1"/>
  <c r="S137" i="1"/>
  <c r="R137" i="1"/>
  <c r="R144" i="1"/>
  <c r="R148" i="1"/>
  <c r="R140" i="1"/>
  <c r="R153" i="1"/>
  <c r="R147" i="1"/>
  <c r="R139" i="1"/>
  <c r="R146" i="1"/>
  <c r="R138" i="1"/>
  <c r="R145" i="1"/>
  <c r="Q99" i="1"/>
  <c r="Q97" i="1"/>
  <c r="S97" i="1" s="1"/>
  <c r="Q95" i="1"/>
  <c r="R95" i="1" s="1"/>
  <c r="Q92" i="1"/>
  <c r="R92" i="1" s="1"/>
  <c r="Q91" i="1"/>
  <c r="R91" i="1" s="1"/>
  <c r="Q89" i="1"/>
  <c r="R89" i="1" s="1"/>
  <c r="Q86" i="1"/>
  <c r="R86" i="1" s="1"/>
  <c r="Q84" i="1"/>
  <c r="S84" i="1" s="1"/>
  <c r="Q203" i="1"/>
  <c r="S203" i="1" s="1"/>
  <c r="Q202" i="1"/>
  <c r="S202" i="1" s="1"/>
  <c r="Q201" i="1"/>
  <c r="Q200" i="1"/>
  <c r="R200" i="1" s="1"/>
  <c r="Q199" i="1"/>
  <c r="Q198" i="1"/>
  <c r="R198" i="1" s="1"/>
  <c r="Q197" i="1"/>
  <c r="Q196" i="1"/>
  <c r="S196" i="1" s="1"/>
  <c r="Q195" i="1"/>
  <c r="S195" i="1" s="1"/>
  <c r="Q194" i="1"/>
  <c r="S194" i="1" s="1"/>
  <c r="Q193" i="1"/>
  <c r="S193" i="1" s="1"/>
  <c r="Q192" i="1"/>
  <c r="S192" i="1" s="1"/>
  <c r="Q190" i="1"/>
  <c r="S190" i="1" s="1"/>
  <c r="Q189" i="1"/>
  <c r="S189" i="1" s="1"/>
  <c r="Q188" i="1"/>
  <c r="S188" i="1" s="1"/>
  <c r="Q187" i="1"/>
  <c r="Q186" i="1"/>
  <c r="S186" i="1" s="1"/>
  <c r="Q185" i="1"/>
  <c r="Q184" i="1"/>
  <c r="R184" i="1" s="1"/>
  <c r="Q183" i="1"/>
  <c r="Q182" i="1"/>
  <c r="R182" i="1" s="1"/>
  <c r="D33" i="10"/>
  <c r="B58" i="11" s="1"/>
  <c r="D32" i="10"/>
  <c r="B57" i="11" s="1"/>
  <c r="D31" i="10"/>
  <c r="Q384" i="9"/>
  <c r="R384" i="9" s="1"/>
  <c r="Q385" i="9"/>
  <c r="Q386" i="9"/>
  <c r="S386" i="9" s="1"/>
  <c r="Q387" i="9"/>
  <c r="S387" i="9" s="1"/>
  <c r="Q388" i="9"/>
  <c r="R388" i="9" s="1"/>
  <c r="Q389" i="9"/>
  <c r="S389" i="9" s="1"/>
  <c r="Q390" i="9"/>
  <c r="S390" i="9" s="1"/>
  <c r="Q391" i="9"/>
  <c r="Q393" i="9"/>
  <c r="R393" i="9" s="1"/>
  <c r="Q394" i="9"/>
  <c r="S394" i="9" s="1"/>
  <c r="Q395" i="9"/>
  <c r="Q396" i="9"/>
  <c r="S396" i="9" s="1"/>
  <c r="Q397" i="9"/>
  <c r="R397" i="9" s="1"/>
  <c r="Q398" i="9"/>
  <c r="S398" i="9" s="1"/>
  <c r="Q264" i="3"/>
  <c r="S264" i="3" s="1"/>
  <c r="Q263" i="3"/>
  <c r="R263" i="3" s="1"/>
  <c r="Q262" i="3"/>
  <c r="S262" i="3" s="1"/>
  <c r="Q261" i="3"/>
  <c r="R261" i="3" s="1"/>
  <c r="Q260" i="3"/>
  <c r="S260" i="3" s="1"/>
  <c r="Q259" i="3"/>
  <c r="Q258" i="3"/>
  <c r="S258" i="3" s="1"/>
  <c r="Q257" i="3"/>
  <c r="Q256" i="3"/>
  <c r="Q255" i="3"/>
  <c r="R255" i="3" s="1"/>
  <c r="Q254" i="3"/>
  <c r="S254" i="3" s="1"/>
  <c r="Q253" i="3"/>
  <c r="R253" i="3" s="1"/>
  <c r="Q252" i="3"/>
  <c r="R252" i="3" s="1"/>
  <c r="Q251" i="3"/>
  <c r="R251" i="3" s="1"/>
  <c r="S251" i="3"/>
  <c r="Q250" i="3"/>
  <c r="S250" i="3" s="1"/>
  <c r="Q249" i="3"/>
  <c r="R249" i="3" s="1"/>
  <c r="Q248" i="3"/>
  <c r="R248" i="3" s="1"/>
  <c r="S248" i="3"/>
  <c r="Q247" i="3"/>
  <c r="R247" i="3" s="1"/>
  <c r="Q246" i="3"/>
  <c r="R246" i="3" s="1"/>
  <c r="Q245" i="3"/>
  <c r="R245" i="3" s="1"/>
  <c r="Q244" i="3"/>
  <c r="R244" i="3" s="1"/>
  <c r="Q243" i="3"/>
  <c r="S243" i="3" s="1"/>
  <c r="Q242" i="3"/>
  <c r="R242" i="3" s="1"/>
  <c r="Q241" i="3"/>
  <c r="Q240" i="3"/>
  <c r="Q237" i="3"/>
  <c r="S237" i="3" s="1"/>
  <c r="Q236" i="3"/>
  <c r="R236" i="3" s="1"/>
  <c r="Q235" i="3"/>
  <c r="Q234" i="3"/>
  <c r="S234" i="3" s="1"/>
  <c r="Q233" i="3"/>
  <c r="S230" i="3"/>
  <c r="S229" i="3"/>
  <c r="S228" i="3"/>
  <c r="S227" i="3"/>
  <c r="S226" i="3"/>
  <c r="S225" i="3"/>
  <c r="S224" i="3"/>
  <c r="Q223" i="3"/>
  <c r="Q222" i="3"/>
  <c r="Q221" i="3"/>
  <c r="R221" i="3" s="1"/>
  <c r="Q220" i="3"/>
  <c r="Q219" i="3"/>
  <c r="R219" i="3" s="1"/>
  <c r="Q218" i="3"/>
  <c r="Q217" i="3"/>
  <c r="R217" i="3" s="1"/>
  <c r="Q216" i="3"/>
  <c r="Q215" i="3"/>
  <c r="Q214" i="3"/>
  <c r="S214" i="3" s="1"/>
  <c r="Q213" i="3"/>
  <c r="S213" i="3" s="1"/>
  <c r="Q212" i="3"/>
  <c r="S212" i="3" s="1"/>
  <c r="Q211" i="3"/>
  <c r="R211" i="3" s="1"/>
  <c r="Q210" i="3"/>
  <c r="Q209" i="3"/>
  <c r="S209" i="3" s="1"/>
  <c r="Q208" i="3"/>
  <c r="S208" i="3" s="1"/>
  <c r="Q207" i="3"/>
  <c r="Q206" i="3"/>
  <c r="Q205" i="3"/>
  <c r="R205" i="3" s="1"/>
  <c r="Q204" i="3"/>
  <c r="S204" i="3" s="1"/>
  <c r="Q203" i="3"/>
  <c r="S203" i="3" s="1"/>
  <c r="R213" i="3"/>
  <c r="Q202" i="3"/>
  <c r="S202" i="3" s="1"/>
  <c r="Q201" i="3"/>
  <c r="S201" i="3" s="1"/>
  <c r="Q200" i="3"/>
  <c r="Q199" i="3"/>
  <c r="S199" i="3" s="1"/>
  <c r="Q198" i="3"/>
  <c r="S198" i="3" s="1"/>
  <c r="Q197" i="3"/>
  <c r="Q196" i="3"/>
  <c r="R196" i="3" s="1"/>
  <c r="Q195" i="3"/>
  <c r="Q194" i="3"/>
  <c r="Q193" i="3"/>
  <c r="S193" i="3" s="1"/>
  <c r="Q192" i="3"/>
  <c r="R192" i="3" s="1"/>
  <c r="Q191" i="3"/>
  <c r="S191" i="3" s="1"/>
  <c r="Q190" i="3"/>
  <c r="R190" i="3" s="1"/>
  <c r="Q189" i="3"/>
  <c r="Q188" i="3"/>
  <c r="R188" i="3" s="1"/>
  <c r="Q187" i="3"/>
  <c r="Q186" i="3"/>
  <c r="S186" i="3" s="1"/>
  <c r="Q185" i="3"/>
  <c r="R185" i="3" s="1"/>
  <c r="Q184" i="3"/>
  <c r="S184" i="3" s="1"/>
  <c r="Q183" i="3"/>
  <c r="R183" i="3" s="1"/>
  <c r="Q180" i="3"/>
  <c r="S180" i="3" s="1"/>
  <c r="Q179" i="3"/>
  <c r="S179" i="3" s="1"/>
  <c r="Q177" i="3"/>
  <c r="R177" i="3" s="1"/>
  <c r="Q175" i="3"/>
  <c r="S175" i="3" s="1"/>
  <c r="Q174" i="3"/>
  <c r="R174" i="3" s="1"/>
  <c r="Q173" i="3"/>
  <c r="R173" i="3" s="1"/>
  <c r="Q172" i="3"/>
  <c r="S172" i="3" s="1"/>
  <c r="S171" i="3"/>
  <c r="Q170" i="3"/>
  <c r="S170" i="3" s="1"/>
  <c r="Q169" i="3"/>
  <c r="Q168" i="3"/>
  <c r="S168" i="3" s="1"/>
  <c r="Q167" i="3"/>
  <c r="R167" i="3" s="1"/>
  <c r="Q166" i="3"/>
  <c r="S166" i="3" s="1"/>
  <c r="Q165" i="3"/>
  <c r="R165" i="3" s="1"/>
  <c r="Q164" i="3"/>
  <c r="S164" i="3" s="1"/>
  <c r="Q163" i="3"/>
  <c r="S163" i="3" s="1"/>
  <c r="R171" i="3"/>
  <c r="R172" i="3"/>
  <c r="R160" i="3"/>
  <c r="Q156" i="3"/>
  <c r="S156" i="3" s="1"/>
  <c r="S152" i="3"/>
  <c r="S151" i="3"/>
  <c r="Q150" i="3"/>
  <c r="S150" i="3" s="1"/>
  <c r="R149" i="3"/>
  <c r="R148" i="3"/>
  <c r="Q142" i="3"/>
  <c r="Q137" i="3"/>
  <c r="S137" i="3" s="1"/>
  <c r="Q134" i="3"/>
  <c r="S134" i="3" s="1"/>
  <c r="Q133" i="3"/>
  <c r="S133" i="3" s="1"/>
  <c r="Q132" i="3"/>
  <c r="S132" i="3" s="1"/>
  <c r="Q131" i="3"/>
  <c r="R131" i="3" s="1"/>
  <c r="Q130" i="3"/>
  <c r="S130" i="3" s="1"/>
  <c r="Q129" i="3"/>
  <c r="R129" i="3" s="1"/>
  <c r="Q126" i="3"/>
  <c r="R162" i="3"/>
  <c r="R152" i="3"/>
  <c r="R130" i="3"/>
  <c r="R151" i="3"/>
  <c r="R159" i="3"/>
  <c r="Q125" i="3"/>
  <c r="Q124" i="3"/>
  <c r="R124" i="3" s="1"/>
  <c r="Q123" i="3"/>
  <c r="Q122" i="3"/>
  <c r="S122" i="3" s="1"/>
  <c r="Q121" i="3"/>
  <c r="Q120" i="3"/>
  <c r="S120" i="3" s="1"/>
  <c r="Q119" i="3"/>
  <c r="Q118" i="3"/>
  <c r="S118" i="3" s="1"/>
  <c r="S117" i="3"/>
  <c r="Q116" i="3"/>
  <c r="S115" i="3"/>
  <c r="Q114" i="3"/>
  <c r="R114" i="3" s="1"/>
  <c r="Q112" i="3"/>
  <c r="R112" i="3" s="1"/>
  <c r="R115" i="3"/>
  <c r="R117" i="3"/>
  <c r="Q111" i="3"/>
  <c r="R111" i="3" s="1"/>
  <c r="Q110" i="3"/>
  <c r="S110" i="3" s="1"/>
  <c r="Q108" i="3"/>
  <c r="R108" i="3" s="1"/>
  <c r="Q107" i="3"/>
  <c r="S107" i="3" s="1"/>
  <c r="Q105" i="3"/>
  <c r="Q104" i="3"/>
  <c r="R104" i="3" s="1"/>
  <c r="Q103" i="3"/>
  <c r="Q102" i="3"/>
  <c r="R102" i="3" s="1"/>
  <c r="Q101" i="3"/>
  <c r="S101" i="3" s="1"/>
  <c r="Q100" i="3"/>
  <c r="R100" i="3" s="1"/>
  <c r="S100" i="3"/>
  <c r="Q98" i="3"/>
  <c r="R98" i="3" s="1"/>
  <c r="Q96" i="3"/>
  <c r="S96" i="3" s="1"/>
  <c r="Q94" i="3"/>
  <c r="Q93" i="3"/>
  <c r="S93" i="3" s="1"/>
  <c r="Q92" i="3"/>
  <c r="Q91" i="3"/>
  <c r="R91" i="3" s="1"/>
  <c r="R89" i="3"/>
  <c r="Q88" i="3"/>
  <c r="S88" i="3" s="1"/>
  <c r="Q87" i="3"/>
  <c r="S87" i="3" s="1"/>
  <c r="Q86" i="3"/>
  <c r="R86" i="3" s="1"/>
  <c r="Q85" i="3"/>
  <c r="Q84" i="3"/>
  <c r="S84" i="3" s="1"/>
  <c r="Q83" i="3"/>
  <c r="Q82" i="3"/>
  <c r="R82" i="3" s="1"/>
  <c r="Q81" i="3"/>
  <c r="S81" i="3" s="1"/>
  <c r="Q80" i="3"/>
  <c r="S80" i="3" s="1"/>
  <c r="Q79" i="3"/>
  <c r="Q78" i="3"/>
  <c r="S78" i="3" s="1"/>
  <c r="Q77" i="3"/>
  <c r="Q76" i="3"/>
  <c r="R76" i="3" s="1"/>
  <c r="Q75" i="3"/>
  <c r="Q74" i="3"/>
  <c r="R74" i="3" s="1"/>
  <c r="Q73" i="3"/>
  <c r="Q70" i="3"/>
  <c r="R70" i="3" s="1"/>
  <c r="Q69" i="3"/>
  <c r="Q68" i="3"/>
  <c r="R68" i="3" s="1"/>
  <c r="Q67" i="3"/>
  <c r="S67" i="3" s="1"/>
  <c r="Q54" i="3"/>
  <c r="R54" i="3" s="1"/>
  <c r="Q53" i="3"/>
  <c r="R53" i="3" s="1"/>
  <c r="Q52" i="3"/>
  <c r="S52" i="3" s="1"/>
  <c r="Q51" i="3"/>
  <c r="S51" i="3" s="1"/>
  <c r="Q50" i="3"/>
  <c r="S50" i="3" s="1"/>
  <c r="Q49" i="3"/>
  <c r="S49" i="3" s="1"/>
  <c r="Q48" i="3"/>
  <c r="R48" i="3" s="1"/>
  <c r="Q47" i="3"/>
  <c r="R47" i="3" s="1"/>
  <c r="Q46" i="3"/>
  <c r="S46" i="3" s="1"/>
  <c r="Q45" i="3"/>
  <c r="R45" i="3" s="1"/>
  <c r="Q44" i="3"/>
  <c r="R44" i="3" s="1"/>
  <c r="Q43" i="3"/>
  <c r="Q42" i="3"/>
  <c r="R42" i="3" s="1"/>
  <c r="Q41" i="3"/>
  <c r="Q40" i="3"/>
  <c r="S40" i="3" s="1"/>
  <c r="Q39" i="3"/>
  <c r="S39" i="3" s="1"/>
  <c r="Q38" i="3"/>
  <c r="S38" i="3" s="1"/>
  <c r="Q37" i="3"/>
  <c r="Q36" i="3"/>
  <c r="S36" i="3" s="1"/>
  <c r="Q35" i="3"/>
  <c r="S35" i="3" s="1"/>
  <c r="R40" i="3"/>
  <c r="Q34" i="3"/>
  <c r="Q33" i="3"/>
  <c r="S33" i="3" s="1"/>
  <c r="Q32" i="3"/>
  <c r="Q31" i="3"/>
  <c r="R31" i="3" s="1"/>
  <c r="Q30" i="3"/>
  <c r="Q29" i="3"/>
  <c r="S29" i="3" s="1"/>
  <c r="Q28" i="3"/>
  <c r="S28" i="3" s="1"/>
  <c r="Q27" i="3"/>
  <c r="R27" i="3" s="1"/>
  <c r="Q26" i="3"/>
  <c r="Q25" i="3"/>
  <c r="R25" i="3" s="1"/>
  <c r="Q24" i="3"/>
  <c r="S24" i="3" s="1"/>
  <c r="Q23" i="3"/>
  <c r="S23" i="3" s="1"/>
  <c r="Q22" i="3"/>
  <c r="S22" i="3" s="1"/>
  <c r="Q21" i="3"/>
  <c r="R21" i="3" s="1"/>
  <c r="Q20" i="3"/>
  <c r="Q19" i="3"/>
  <c r="R19" i="3" s="1"/>
  <c r="Q18" i="3"/>
  <c r="S18" i="3" s="1"/>
  <c r="Q17" i="3"/>
  <c r="S17" i="3" s="1"/>
  <c r="Q16" i="3"/>
  <c r="Q15" i="3"/>
  <c r="R15" i="3" s="1"/>
  <c r="Q14" i="3"/>
  <c r="Q13" i="3"/>
  <c r="S13" i="3" s="1"/>
  <c r="Q12" i="3"/>
  <c r="S12" i="3" s="1"/>
  <c r="Q11" i="3"/>
  <c r="S11" i="3" s="1"/>
  <c r="Q58" i="3"/>
  <c r="Q61" i="3"/>
  <c r="R61" i="3" s="1"/>
  <c r="Q66" i="3"/>
  <c r="S66" i="3" s="1"/>
  <c r="Q360" i="3"/>
  <c r="S360" i="3" s="1"/>
  <c r="Q359" i="3"/>
  <c r="R359" i="3" s="1"/>
  <c r="Q358" i="3"/>
  <c r="Q357" i="3"/>
  <c r="R357" i="3"/>
  <c r="Q356" i="3"/>
  <c r="S356" i="3" s="1"/>
  <c r="Q355" i="3"/>
  <c r="S355" i="3" s="1"/>
  <c r="Q354" i="3"/>
  <c r="Q353" i="3"/>
  <c r="R353" i="3" s="1"/>
  <c r="Q352" i="3"/>
  <c r="S352" i="3" s="1"/>
  <c r="Q351" i="3"/>
  <c r="R351" i="3" s="1"/>
  <c r="Q350" i="3"/>
  <c r="S350" i="3" s="1"/>
  <c r="Q349" i="3"/>
  <c r="S349" i="3" s="1"/>
  <c r="Q348" i="3"/>
  <c r="Q347" i="3"/>
  <c r="S347" i="3" s="1"/>
  <c r="Q346" i="3"/>
  <c r="Q345" i="3"/>
  <c r="S345" i="3" s="1"/>
  <c r="R345" i="3"/>
  <c r="Q344" i="3"/>
  <c r="Q343" i="3"/>
  <c r="S343" i="3" s="1"/>
  <c r="Q342" i="3"/>
  <c r="Q341" i="3"/>
  <c r="R341" i="3" s="1"/>
  <c r="Q340" i="3"/>
  <c r="S340" i="3" s="1"/>
  <c r="Q339" i="3"/>
  <c r="R339" i="3" s="1"/>
  <c r="Q338" i="3"/>
  <c r="Q337" i="3"/>
  <c r="R337" i="3" s="1"/>
  <c r="Q336" i="3"/>
  <c r="S336" i="3" s="1"/>
  <c r="Q335" i="3"/>
  <c r="S335" i="3" s="1"/>
  <c r="Q334" i="3"/>
  <c r="Q333" i="3"/>
  <c r="S333" i="3" s="1"/>
  <c r="R333" i="3"/>
  <c r="Q332" i="3"/>
  <c r="S332" i="3" s="1"/>
  <c r="Q331" i="3"/>
  <c r="R331" i="3" s="1"/>
  <c r="Q330" i="3"/>
  <c r="Q329" i="3"/>
  <c r="S329" i="3" s="1"/>
  <c r="Q328" i="3"/>
  <c r="Q327" i="3"/>
  <c r="S327" i="3" s="1"/>
  <c r="S357" i="3"/>
  <c r="Q119" i="2"/>
  <c r="R119" i="2" s="1"/>
  <c r="Q118" i="2"/>
  <c r="S118" i="2" s="1"/>
  <c r="Q117" i="2"/>
  <c r="S117" i="2" s="1"/>
  <c r="Q116" i="2"/>
  <c r="Q115" i="2"/>
  <c r="R115" i="2" s="1"/>
  <c r="Q114" i="2"/>
  <c r="S114" i="2" s="1"/>
  <c r="Q113" i="2"/>
  <c r="R113" i="2" s="1"/>
  <c r="Q112" i="2"/>
  <c r="S112" i="2" s="1"/>
  <c r="Q111" i="2"/>
  <c r="R111" i="2" s="1"/>
  <c r="Q110" i="2"/>
  <c r="Q109" i="2"/>
  <c r="S109" i="2" s="1"/>
  <c r="Q108" i="2"/>
  <c r="Q107" i="2"/>
  <c r="R107" i="2" s="1"/>
  <c r="S107" i="2"/>
  <c r="Q106" i="2"/>
  <c r="Q104" i="2"/>
  <c r="R104" i="2" s="1"/>
  <c r="Q103" i="2"/>
  <c r="Q102" i="2"/>
  <c r="R102" i="2" s="1"/>
  <c r="Q101" i="2"/>
  <c r="Q100" i="2"/>
  <c r="R100" i="2" s="1"/>
  <c r="Q99" i="2"/>
  <c r="R99" i="2" s="1"/>
  <c r="Q98" i="2"/>
  <c r="R98" i="2" s="1"/>
  <c r="Q95" i="2"/>
  <c r="S95" i="2" s="1"/>
  <c r="Q94" i="2"/>
  <c r="S94" i="2" s="1"/>
  <c r="Q93" i="2"/>
  <c r="Q92" i="2"/>
  <c r="R92" i="2" s="1"/>
  <c r="Q91" i="2"/>
  <c r="Q90" i="2"/>
  <c r="S90" i="2" s="1"/>
  <c r="Q89" i="2"/>
  <c r="Q88" i="2"/>
  <c r="R88" i="2" s="1"/>
  <c r="Q87" i="2"/>
  <c r="Q86" i="2"/>
  <c r="R86" i="2" s="1"/>
  <c r="Q85" i="2"/>
  <c r="S85" i="2" s="1"/>
  <c r="S84" i="2"/>
  <c r="S83" i="2"/>
  <c r="S82" i="2"/>
  <c r="S81" i="2"/>
  <c r="S79" i="2"/>
  <c r="S78" i="2"/>
  <c r="Q76" i="2"/>
  <c r="R78" i="2"/>
  <c r="R82" i="2"/>
  <c r="R79" i="2"/>
  <c r="R83" i="2"/>
  <c r="R81" i="2"/>
  <c r="R84" i="2"/>
  <c r="Q75" i="2"/>
  <c r="S75" i="2" s="1"/>
  <c r="Q72" i="2"/>
  <c r="S72" i="2" s="1"/>
  <c r="Q71" i="2"/>
  <c r="Q70" i="2"/>
  <c r="R70" i="2" s="1"/>
  <c r="Q69" i="2"/>
  <c r="Q68" i="2"/>
  <c r="R68" i="2" s="1"/>
  <c r="Q67" i="2"/>
  <c r="Q66" i="2"/>
  <c r="R66" i="2" s="1"/>
  <c r="Q65" i="2"/>
  <c r="Q64" i="2"/>
  <c r="R64" i="2" s="1"/>
  <c r="Q63" i="2"/>
  <c r="Q61" i="2"/>
  <c r="S61" i="2" s="1"/>
  <c r="Q60" i="2"/>
  <c r="R60" i="2" s="1"/>
  <c r="Q59" i="2"/>
  <c r="R59" i="2" s="1"/>
  <c r="Q58" i="2"/>
  <c r="R58" i="2" s="1"/>
  <c r="Q57" i="2"/>
  <c r="Q56" i="2"/>
  <c r="S56" i="2" s="1"/>
  <c r="Q55" i="2"/>
  <c r="S55" i="2" s="1"/>
  <c r="Q54" i="2"/>
  <c r="R54" i="2" s="1"/>
  <c r="Q53" i="2"/>
  <c r="S53" i="2" s="1"/>
  <c r="Q52" i="2"/>
  <c r="Q51" i="2"/>
  <c r="S51" i="2" s="1"/>
  <c r="Q50" i="2"/>
  <c r="S50" i="2" s="1"/>
  <c r="Q49" i="2"/>
  <c r="S49" i="2" s="1"/>
  <c r="Q48" i="2"/>
  <c r="R48" i="2" s="1"/>
  <c r="Q47" i="2"/>
  <c r="Q46" i="2"/>
  <c r="S46" i="2" s="1"/>
  <c r="Q45" i="2"/>
  <c r="S45" i="2" s="1"/>
  <c r="Q44" i="2"/>
  <c r="Q43" i="2"/>
  <c r="S43" i="2" s="1"/>
  <c r="Q42" i="2"/>
  <c r="R42" i="2" s="1"/>
  <c r="Q40" i="2"/>
  <c r="S40" i="2" s="1"/>
  <c r="Q39" i="2"/>
  <c r="R39" i="2" s="1"/>
  <c r="Q37" i="2"/>
  <c r="R37" i="2" s="1"/>
  <c r="Q36" i="2"/>
  <c r="S36" i="2" s="1"/>
  <c r="Q35" i="2"/>
  <c r="R35" i="2" s="1"/>
  <c r="Q33" i="2"/>
  <c r="S33" i="2" s="1"/>
  <c r="Q32" i="2"/>
  <c r="R32" i="2" s="1"/>
  <c r="Q31" i="2"/>
  <c r="R31" i="2" s="1"/>
  <c r="Q30" i="2"/>
  <c r="R30" i="2" s="1"/>
  <c r="Q29" i="2"/>
  <c r="R29" i="2" s="1"/>
  <c r="Q28" i="2"/>
  <c r="S28" i="2" s="1"/>
  <c r="Q27" i="2"/>
  <c r="R27" i="2" s="1"/>
  <c r="Q26" i="2"/>
  <c r="S26" i="2" s="1"/>
  <c r="Q25" i="2"/>
  <c r="S25" i="2" s="1"/>
  <c r="Q24" i="2"/>
  <c r="R24" i="2" s="1"/>
  <c r="Q23" i="2"/>
  <c r="S23" i="2" s="1"/>
  <c r="Q22" i="2"/>
  <c r="R22" i="2" s="1"/>
  <c r="Q21" i="2"/>
  <c r="S21" i="2" s="1"/>
  <c r="S19" i="2"/>
  <c r="Q18" i="2"/>
  <c r="S18" i="2" s="1"/>
  <c r="Q16" i="2"/>
  <c r="S16" i="2" s="1"/>
  <c r="Q15" i="2"/>
  <c r="R15" i="2" s="1"/>
  <c r="Q14" i="2"/>
  <c r="S14" i="2" s="1"/>
  <c r="Q13" i="2"/>
  <c r="R13" i="2" s="1"/>
  <c r="Q12" i="2"/>
  <c r="Q11" i="2"/>
  <c r="R11" i="2" s="1"/>
  <c r="R17" i="2"/>
  <c r="S17" i="2"/>
  <c r="R19" i="2"/>
  <c r="R503" i="4"/>
  <c r="S502" i="4"/>
  <c r="S501" i="4"/>
  <c r="R499" i="4"/>
  <c r="S498" i="4"/>
  <c r="S497" i="4"/>
  <c r="R494" i="4"/>
  <c r="S493" i="4"/>
  <c r="S489" i="4"/>
  <c r="S486" i="4"/>
  <c r="S485" i="4"/>
  <c r="S484" i="4"/>
  <c r="S482" i="4"/>
  <c r="S481" i="4"/>
  <c r="S480" i="4"/>
  <c r="S478" i="4"/>
  <c r="S477" i="4"/>
  <c r="S476" i="4"/>
  <c r="S474" i="4"/>
  <c r="S472" i="4"/>
  <c r="S468" i="4"/>
  <c r="S463" i="4"/>
  <c r="R462" i="4"/>
  <c r="Q461" i="4"/>
  <c r="R461" i="4" s="1"/>
  <c r="Q460" i="4"/>
  <c r="R460" i="4" s="1"/>
  <c r="Q459" i="4"/>
  <c r="S459" i="4" s="1"/>
  <c r="Q458" i="4"/>
  <c r="Q457" i="4"/>
  <c r="S457" i="4" s="1"/>
  <c r="Q456" i="4"/>
  <c r="R456" i="4" s="1"/>
  <c r="Q455" i="4"/>
  <c r="R455" i="4" s="1"/>
  <c r="Q454" i="4"/>
  <c r="S454" i="4" s="1"/>
  <c r="Q453" i="4"/>
  <c r="S453" i="4" s="1"/>
  <c r="Q452" i="4"/>
  <c r="R452" i="4" s="1"/>
  <c r="Q451" i="4"/>
  <c r="S451" i="4" s="1"/>
  <c r="Q450" i="4"/>
  <c r="R450" i="4" s="1"/>
  <c r="Q449" i="4"/>
  <c r="R449" i="4" s="1"/>
  <c r="Q448" i="4"/>
  <c r="S448" i="4" s="1"/>
  <c r="Q447" i="4"/>
  <c r="S447" i="4" s="1"/>
  <c r="Q446" i="4"/>
  <c r="S446" i="4" s="1"/>
  <c r="Q445" i="4"/>
  <c r="R445" i="4" s="1"/>
  <c r="Q444" i="4"/>
  <c r="S444" i="4" s="1"/>
  <c r="Q443" i="4"/>
  <c r="S443" i="4" s="1"/>
  <c r="Q442" i="4"/>
  <c r="R442" i="4" s="1"/>
  <c r="Q441" i="4"/>
  <c r="R441" i="4" s="1"/>
  <c r="Q440" i="4"/>
  <c r="S440" i="4" s="1"/>
  <c r="Q439" i="4"/>
  <c r="S439" i="4" s="1"/>
  <c r="Q438" i="4"/>
  <c r="S438" i="4" s="1"/>
  <c r="Q437" i="4"/>
  <c r="S437" i="4" s="1"/>
  <c r="Q436" i="4"/>
  <c r="S436" i="4" s="1"/>
  <c r="Q435" i="4"/>
  <c r="S435" i="4" s="1"/>
  <c r="Q434" i="4"/>
  <c r="S434" i="4" s="1"/>
  <c r="Q433" i="4"/>
  <c r="R433" i="4" s="1"/>
  <c r="Q432" i="4"/>
  <c r="S432" i="4" s="1"/>
  <c r="Q431" i="4"/>
  <c r="S431" i="4" s="1"/>
  <c r="Q430" i="4"/>
  <c r="R430" i="4" s="1"/>
  <c r="Q429" i="4"/>
  <c r="R429" i="4" s="1"/>
  <c r="Q428" i="4"/>
  <c r="R428" i="4" s="1"/>
  <c r="Q427" i="4"/>
  <c r="S427" i="4" s="1"/>
  <c r="Q426" i="4"/>
  <c r="S426" i="4" s="1"/>
  <c r="Q425" i="4"/>
  <c r="S425" i="4" s="1"/>
  <c r="Q424" i="4"/>
  <c r="R424" i="4" s="1"/>
  <c r="Q423" i="4"/>
  <c r="S423" i="4" s="1"/>
  <c r="Q422" i="4"/>
  <c r="S422" i="4" s="1"/>
  <c r="Q421" i="4"/>
  <c r="R421" i="4" s="1"/>
  <c r="Q420" i="4"/>
  <c r="R420" i="4" s="1"/>
  <c r="Q419" i="4"/>
  <c r="S419" i="4" s="1"/>
  <c r="Q418" i="4"/>
  <c r="S418" i="4" s="1"/>
  <c r="Q417" i="4"/>
  <c r="R417" i="4" s="1"/>
  <c r="Q416" i="4"/>
  <c r="S416" i="4" s="1"/>
  <c r="Q415" i="4"/>
  <c r="S415" i="4" s="1"/>
  <c r="Q414" i="4"/>
  <c r="Q413" i="4"/>
  <c r="S413" i="4" s="1"/>
  <c r="Q412" i="4"/>
  <c r="S412" i="4" s="1"/>
  <c r="Q411" i="4"/>
  <c r="S411" i="4" s="1"/>
  <c r="Q410" i="4"/>
  <c r="S410" i="4" s="1"/>
  <c r="Q409" i="4"/>
  <c r="S409" i="4" s="1"/>
  <c r="Q408" i="4"/>
  <c r="S408" i="4" s="1"/>
  <c r="Q407" i="4"/>
  <c r="S407" i="4" s="1"/>
  <c r="Q406" i="4"/>
  <c r="S406" i="4" s="1"/>
  <c r="Q405" i="4"/>
  <c r="S405" i="4" s="1"/>
  <c r="Q404" i="4"/>
  <c r="R404" i="4" s="1"/>
  <c r="Q403" i="4"/>
  <c r="Q402" i="4"/>
  <c r="S402" i="4" s="1"/>
  <c r="Q401" i="4"/>
  <c r="S401" i="4" s="1"/>
  <c r="Q400" i="4"/>
  <c r="S400" i="4" s="1"/>
  <c r="Q399" i="4"/>
  <c r="Q398" i="4"/>
  <c r="S398" i="4" s="1"/>
  <c r="Q397" i="4"/>
  <c r="Q396" i="4"/>
  <c r="S396" i="4" s="1"/>
  <c r="Q393" i="4"/>
  <c r="S393" i="4" s="1"/>
  <c r="Q392" i="4"/>
  <c r="R392" i="4" s="1"/>
  <c r="Q391" i="4"/>
  <c r="S391" i="4" s="1"/>
  <c r="Q390" i="4"/>
  <c r="R390" i="4" s="1"/>
  <c r="Q388" i="4"/>
  <c r="R388" i="4" s="1"/>
  <c r="Q386" i="4"/>
  <c r="S386" i="4" s="1"/>
  <c r="Q385" i="4"/>
  <c r="R385" i="4" s="1"/>
  <c r="Q384" i="4"/>
  <c r="R384" i="4" s="1"/>
  <c r="Q383" i="4"/>
  <c r="S383" i="4" s="1"/>
  <c r="Q382" i="4"/>
  <c r="R382" i="4" s="1"/>
  <c r="Q381" i="4"/>
  <c r="R381" i="4" s="1"/>
  <c r="Q379" i="4"/>
  <c r="S379" i="4" s="1"/>
  <c r="Q378" i="4"/>
  <c r="S378" i="4" s="1"/>
  <c r="Q377" i="4"/>
  <c r="Q376" i="4"/>
  <c r="S376" i="4" s="1"/>
  <c r="Q375" i="4"/>
  <c r="Q374" i="4"/>
  <c r="R374" i="4" s="1"/>
  <c r="Q373" i="4"/>
  <c r="R373" i="4" s="1"/>
  <c r="Q372" i="4"/>
  <c r="R372" i="4" s="1"/>
  <c r="Q371" i="4"/>
  <c r="Q365" i="4"/>
  <c r="S365" i="4" s="1"/>
  <c r="Q363" i="4"/>
  <c r="R363" i="4" s="1"/>
  <c r="Q360" i="4"/>
  <c r="R360" i="4" s="1"/>
  <c r="Q359" i="4"/>
  <c r="S359" i="4" s="1"/>
  <c r="Q358" i="4"/>
  <c r="S358" i="4" s="1"/>
  <c r="Q356" i="4"/>
  <c r="R356" i="4" s="1"/>
  <c r="Q355" i="4"/>
  <c r="R355" i="4" s="1"/>
  <c r="Q352" i="4"/>
  <c r="Q351" i="4"/>
  <c r="S351" i="4" s="1"/>
  <c r="Q350" i="4"/>
  <c r="S350" i="4" s="1"/>
  <c r="Q349" i="4"/>
  <c r="S349" i="4" s="1"/>
  <c r="Q348" i="4"/>
  <c r="Q347" i="4"/>
  <c r="R347" i="4" s="1"/>
  <c r="Q345" i="4"/>
  <c r="S345" i="4" s="1"/>
  <c r="Q344" i="4"/>
  <c r="S344" i="4" s="1"/>
  <c r="Q341" i="4"/>
  <c r="R341" i="4" s="1"/>
  <c r="Q334" i="4"/>
  <c r="S334" i="4" s="1"/>
  <c r="Q333" i="4"/>
  <c r="S333" i="4" s="1"/>
  <c r="Q332" i="4"/>
  <c r="R332" i="4" s="1"/>
  <c r="Q331" i="4"/>
  <c r="R331" i="4" s="1"/>
  <c r="Q330" i="4"/>
  <c r="S330" i="4" s="1"/>
  <c r="Q329" i="4"/>
  <c r="R329" i="4" s="1"/>
  <c r="Q328" i="4"/>
  <c r="S328" i="4" s="1"/>
  <c r="Q325" i="4"/>
  <c r="Q324" i="4"/>
  <c r="S324" i="4" s="1"/>
  <c r="Q323" i="4"/>
  <c r="R323" i="4" s="1"/>
  <c r="Q322" i="4"/>
  <c r="R322" i="4" s="1"/>
  <c r="Q321" i="4"/>
  <c r="Q320" i="4"/>
  <c r="R320" i="4" s="1"/>
  <c r="Q319" i="4"/>
  <c r="R319" i="4" s="1"/>
  <c r="Q318" i="4"/>
  <c r="Q317" i="4"/>
  <c r="Q316" i="4"/>
  <c r="R316" i="4" s="1"/>
  <c r="Q315" i="4"/>
  <c r="S315" i="4" s="1"/>
  <c r="Q314" i="4"/>
  <c r="R314" i="4" s="1"/>
  <c r="Q313" i="4"/>
  <c r="S313" i="4" s="1"/>
  <c r="Q312" i="4"/>
  <c r="R312" i="4" s="1"/>
  <c r="Q311" i="4"/>
  <c r="R311" i="4" s="1"/>
  <c r="Q310" i="4"/>
  <c r="S310" i="4" s="1"/>
  <c r="Q309" i="4"/>
  <c r="R309" i="4" s="1"/>
  <c r="Q308" i="4"/>
  <c r="S308" i="4" s="1"/>
  <c r="Q307" i="4"/>
  <c r="S307" i="4" s="1"/>
  <c r="Q306" i="4"/>
  <c r="S306" i="4" s="1"/>
  <c r="Q305" i="4"/>
  <c r="S305" i="4" s="1"/>
  <c r="Q304" i="4"/>
  <c r="S304" i="4" s="1"/>
  <c r="Q303" i="4"/>
  <c r="R303" i="4" s="1"/>
  <c r="Q302" i="4"/>
  <c r="R302" i="4" s="1"/>
  <c r="Q301" i="4"/>
  <c r="S301" i="4" s="1"/>
  <c r="Q300" i="4"/>
  <c r="S300" i="4" s="1"/>
  <c r="Q299" i="4"/>
  <c r="Q298" i="4"/>
  <c r="Q297" i="4"/>
  <c r="S297" i="4" s="1"/>
  <c r="Q296" i="4"/>
  <c r="S296" i="4" s="1"/>
  <c r="Q295" i="4"/>
  <c r="R295" i="4" s="1"/>
  <c r="Q294" i="4"/>
  <c r="S294" i="4" s="1"/>
  <c r="Q293" i="4"/>
  <c r="S293" i="4" s="1"/>
  <c r="Q287" i="4"/>
  <c r="Q286" i="4"/>
  <c r="R286" i="4" s="1"/>
  <c r="Q285" i="4"/>
  <c r="R285" i="4" s="1"/>
  <c r="Q283" i="4"/>
  <c r="S283" i="4" s="1"/>
  <c r="Q279" i="4"/>
  <c r="S279" i="4" s="1"/>
  <c r="Q278" i="4"/>
  <c r="R278" i="4" s="1"/>
  <c r="Q277" i="4"/>
  <c r="S277" i="4" s="1"/>
  <c r="Q276" i="4"/>
  <c r="R276" i="4" s="1"/>
  <c r="Q275" i="4"/>
  <c r="S275" i="4" s="1"/>
  <c r="Q273" i="4"/>
  <c r="S273" i="4" s="1"/>
  <c r="Q270" i="4"/>
  <c r="S270" i="4" s="1"/>
  <c r="Q269" i="4"/>
  <c r="R269" i="4" s="1"/>
  <c r="Q268" i="4"/>
  <c r="Q267" i="4"/>
  <c r="Q266" i="4"/>
  <c r="R265" i="4"/>
  <c r="Q264" i="4"/>
  <c r="R264" i="4" s="1"/>
  <c r="Q263" i="4"/>
  <c r="R263" i="4" s="1"/>
  <c r="R262" i="4"/>
  <c r="Q261" i="4"/>
  <c r="S261" i="4" s="1"/>
  <c r="R260" i="4"/>
  <c r="Q259" i="4"/>
  <c r="S259" i="4" s="1"/>
  <c r="Q258" i="4"/>
  <c r="R257" i="4"/>
  <c r="R256" i="4"/>
  <c r="R255" i="4"/>
  <c r="R254" i="4"/>
  <c r="R253" i="4"/>
  <c r="R252" i="4"/>
  <c r="Q251" i="4"/>
  <c r="R251" i="4" s="1"/>
  <c r="Q248" i="4"/>
  <c r="R248" i="4" s="1"/>
  <c r="Q247" i="4"/>
  <c r="S247" i="4" s="1"/>
  <c r="Q246" i="4"/>
  <c r="Q245" i="4"/>
  <c r="S245" i="4" s="1"/>
  <c r="Q244" i="4"/>
  <c r="R244" i="4" s="1"/>
  <c r="Q243" i="4"/>
  <c r="Q242" i="4"/>
  <c r="S242" i="4" s="1"/>
  <c r="Q241" i="4"/>
  <c r="R241" i="4" s="1"/>
  <c r="Q240" i="4"/>
  <c r="S240" i="4" s="1"/>
  <c r="Q239" i="4"/>
  <c r="S239" i="4" s="1"/>
  <c r="Q238" i="4"/>
  <c r="S238" i="4" s="1"/>
  <c r="Q237" i="4"/>
  <c r="R237" i="4" s="1"/>
  <c r="Q236" i="4"/>
  <c r="Q235" i="4"/>
  <c r="S235" i="4" s="1"/>
  <c r="Q233" i="4"/>
  <c r="S233" i="4" s="1"/>
  <c r="Q231" i="4"/>
  <c r="S231" i="4" s="1"/>
  <c r="Q229" i="4"/>
  <c r="S229" i="4" s="1"/>
  <c r="Q228" i="4"/>
  <c r="S228" i="4" s="1"/>
  <c r="Q225" i="4"/>
  <c r="S225" i="4" s="1"/>
  <c r="Q223" i="4"/>
  <c r="S223" i="4" s="1"/>
  <c r="Q221" i="4"/>
  <c r="S221" i="4" s="1"/>
  <c r="Q220" i="4"/>
  <c r="S220" i="4" s="1"/>
  <c r="Q219" i="4"/>
  <c r="S219" i="4" s="1"/>
  <c r="Q218" i="4"/>
  <c r="S218" i="4" s="1"/>
  <c r="Q217" i="4"/>
  <c r="Q216" i="4"/>
  <c r="Q215" i="4"/>
  <c r="R215" i="4" s="1"/>
  <c r="Q214" i="4"/>
  <c r="Q213" i="4"/>
  <c r="Q212" i="4"/>
  <c r="S212" i="4" s="1"/>
  <c r="Q211" i="4"/>
  <c r="R211" i="4" s="1"/>
  <c r="Q210" i="4"/>
  <c r="R210" i="4" s="1"/>
  <c r="Q209" i="4"/>
  <c r="R209" i="4" s="1"/>
  <c r="Q208" i="4"/>
  <c r="Q207" i="4"/>
  <c r="S207" i="4" s="1"/>
  <c r="Q206" i="4"/>
  <c r="R206" i="4" s="1"/>
  <c r="Q205" i="4"/>
  <c r="R205" i="4" s="1"/>
  <c r="Q204" i="4"/>
  <c r="R204" i="4" s="1"/>
  <c r="Q203" i="4"/>
  <c r="S203" i="4" s="1"/>
  <c r="Q202" i="4"/>
  <c r="S202" i="4" s="1"/>
  <c r="Q201" i="4"/>
  <c r="R201" i="4" s="1"/>
  <c r="Q200" i="4"/>
  <c r="R200" i="4" s="1"/>
  <c r="Q199" i="4"/>
  <c r="Q198" i="4"/>
  <c r="S198" i="4" s="1"/>
  <c r="Q197" i="4"/>
  <c r="S197" i="4" s="1"/>
  <c r="S196" i="4"/>
  <c r="Q195" i="4"/>
  <c r="S195" i="4" s="1"/>
  <c r="Q194" i="4"/>
  <c r="R194" i="4" s="1"/>
  <c r="Q192" i="4"/>
  <c r="R192" i="4" s="1"/>
  <c r="Q191" i="4"/>
  <c r="S191" i="4" s="1"/>
  <c r="Q190" i="4"/>
  <c r="S190" i="4" s="1"/>
  <c r="Q189" i="4"/>
  <c r="S189" i="4" s="1"/>
  <c r="Q188" i="4"/>
  <c r="S188" i="4" s="1"/>
  <c r="Q187" i="4"/>
  <c r="S187" i="4" s="1"/>
  <c r="Q186" i="4"/>
  <c r="R186" i="4" s="1"/>
  <c r="Q185" i="4"/>
  <c r="S185" i="4" s="1"/>
  <c r="Q184" i="4"/>
  <c r="S184" i="4" s="1"/>
  <c r="Q183" i="4"/>
  <c r="S183" i="4" s="1"/>
  <c r="Q182" i="4"/>
  <c r="R182" i="4" s="1"/>
  <c r="Q181" i="4"/>
  <c r="S181" i="4" s="1"/>
  <c r="Q180" i="4"/>
  <c r="S180" i="4" s="1"/>
  <c r="Q179" i="4"/>
  <c r="Q178" i="4"/>
  <c r="S178" i="4" s="1"/>
  <c r="Q177" i="4"/>
  <c r="R177" i="4" s="1"/>
  <c r="Q176" i="4"/>
  <c r="Q175" i="4"/>
  <c r="R175" i="4" s="1"/>
  <c r="Q174" i="4"/>
  <c r="R174" i="4" s="1"/>
  <c r="Q173" i="4"/>
  <c r="R173" i="4" s="1"/>
  <c r="Q172" i="4"/>
  <c r="S172" i="4" s="1"/>
  <c r="Q171" i="4"/>
  <c r="Q170" i="4"/>
  <c r="R170" i="4" s="1"/>
  <c r="Q169" i="4"/>
  <c r="S169" i="4" s="1"/>
  <c r="Q168" i="4"/>
  <c r="S168" i="4" s="1"/>
  <c r="Q167" i="4"/>
  <c r="R167" i="4" s="1"/>
  <c r="Q166" i="4"/>
  <c r="S166" i="4" s="1"/>
  <c r="Q165" i="4"/>
  <c r="R165" i="4" s="1"/>
  <c r="Q164" i="4"/>
  <c r="S164" i="4" s="1"/>
  <c r="Q161" i="4"/>
  <c r="R161" i="4" s="1"/>
  <c r="Q159" i="4"/>
  <c r="S159" i="4" s="1"/>
  <c r="Q158" i="4"/>
  <c r="R158" i="4" s="1"/>
  <c r="Q157" i="4"/>
  <c r="R157" i="4" s="1"/>
  <c r="Q156" i="4"/>
  <c r="R156" i="4" s="1"/>
  <c r="Q155" i="4"/>
  <c r="S155" i="4" s="1"/>
  <c r="Q154" i="4"/>
  <c r="S154" i="4" s="1"/>
  <c r="Q153" i="4"/>
  <c r="S153" i="4" s="1"/>
  <c r="Q152" i="4"/>
  <c r="S152" i="4" s="1"/>
  <c r="Q151" i="4"/>
  <c r="R151" i="4" s="1"/>
  <c r="Q150" i="4"/>
  <c r="S150" i="4" s="1"/>
  <c r="Q149" i="4"/>
  <c r="S149" i="4" s="1"/>
  <c r="Q148" i="4"/>
  <c r="R148" i="4" s="1"/>
  <c r="Q147" i="4"/>
  <c r="S147" i="4" s="1"/>
  <c r="Q144" i="4"/>
  <c r="S144" i="4" s="1"/>
  <c r="Q141" i="4"/>
  <c r="R141" i="4" s="1"/>
  <c r="Q140" i="4"/>
  <c r="S140" i="4" s="1"/>
  <c r="Q139" i="4"/>
  <c r="R139" i="4" s="1"/>
  <c r="Q138" i="4"/>
  <c r="R138" i="4" s="1"/>
  <c r="Q137" i="4"/>
  <c r="S137" i="4" s="1"/>
  <c r="Q136" i="4"/>
  <c r="S136" i="4" s="1"/>
  <c r="Q135" i="4"/>
  <c r="R135" i="4" s="1"/>
  <c r="Q134" i="4"/>
  <c r="S134" i="4" s="1"/>
  <c r="Q133" i="4"/>
  <c r="R133" i="4" s="1"/>
  <c r="Q132" i="4"/>
  <c r="S132" i="4" s="1"/>
  <c r="Q129" i="4"/>
  <c r="S129" i="4" s="1"/>
  <c r="Q127" i="4"/>
  <c r="S127" i="4" s="1"/>
  <c r="Q126" i="4"/>
  <c r="R126" i="4" s="1"/>
  <c r="Q125" i="4"/>
  <c r="S125" i="4" s="1"/>
  <c r="Q124" i="4"/>
  <c r="S124" i="4" s="1"/>
  <c r="Q123" i="4"/>
  <c r="Q122" i="4"/>
  <c r="R122" i="4" s="1"/>
  <c r="Q121" i="4"/>
  <c r="S121" i="4" s="1"/>
  <c r="Q120" i="4"/>
  <c r="S120" i="4" s="1"/>
  <c r="Q119" i="4"/>
  <c r="S119" i="4" s="1"/>
  <c r="Q118" i="4"/>
  <c r="S118" i="4" s="1"/>
  <c r="Q117" i="4"/>
  <c r="R117" i="4" s="1"/>
  <c r="Q116" i="4"/>
  <c r="S116" i="4" s="1"/>
  <c r="Q115" i="4"/>
  <c r="S115" i="4" s="1"/>
  <c r="Q114" i="4"/>
  <c r="S114" i="4" s="1"/>
  <c r="S107" i="4"/>
  <c r="Q106" i="4"/>
  <c r="S106" i="4" s="1"/>
  <c r="Q95" i="4"/>
  <c r="S95" i="4" s="1"/>
  <c r="Q92" i="4"/>
  <c r="S92" i="4" s="1"/>
  <c r="Q91" i="4"/>
  <c r="S91" i="4" s="1"/>
  <c r="Q90" i="4"/>
  <c r="S90" i="4" s="1"/>
  <c r="Q89" i="4"/>
  <c r="R89" i="4" s="1"/>
  <c r="Q88" i="4"/>
  <c r="S88" i="4" s="1"/>
  <c r="Q87" i="4"/>
  <c r="S87" i="4" s="1"/>
  <c r="Q86" i="4"/>
  <c r="S86" i="4" s="1"/>
  <c r="Q85" i="4"/>
  <c r="Q84" i="4"/>
  <c r="R84" i="4" s="1"/>
  <c r="Q83" i="4"/>
  <c r="S83" i="4" s="1"/>
  <c r="Q82" i="4"/>
  <c r="R82" i="4" s="1"/>
  <c r="Q81" i="4"/>
  <c r="S81" i="4" s="1"/>
  <c r="Q80" i="4"/>
  <c r="S80" i="4" s="1"/>
  <c r="Q79" i="4"/>
  <c r="Q77" i="4"/>
  <c r="S77" i="4" s="1"/>
  <c r="Q76" i="4"/>
  <c r="S76" i="4" s="1"/>
  <c r="Q75" i="4"/>
  <c r="Q74" i="4"/>
  <c r="S74" i="4" s="1"/>
  <c r="Q73" i="4"/>
  <c r="S73" i="4" s="1"/>
  <c r="Q72" i="4"/>
  <c r="S72" i="4" s="1"/>
  <c r="Q71" i="4"/>
  <c r="S71" i="4" s="1"/>
  <c r="Q70" i="4"/>
  <c r="R70" i="4" s="1"/>
  <c r="Q69" i="4"/>
  <c r="S69" i="4" s="1"/>
  <c r="Q68" i="4"/>
  <c r="S68" i="4" s="1"/>
  <c r="Q67" i="4"/>
  <c r="R67" i="4" s="1"/>
  <c r="Q66" i="4"/>
  <c r="S66" i="4" s="1"/>
  <c r="Q65" i="4"/>
  <c r="Q64" i="4"/>
  <c r="R64" i="4" s="1"/>
  <c r="Q63" i="4"/>
  <c r="Q62" i="4"/>
  <c r="S62" i="4" s="1"/>
  <c r="Q60" i="4"/>
  <c r="S60" i="4" s="1"/>
  <c r="Q59" i="4"/>
  <c r="S59" i="4" s="1"/>
  <c r="Q56" i="4"/>
  <c r="R56" i="4" s="1"/>
  <c r="Q55" i="4"/>
  <c r="Q54" i="4"/>
  <c r="S54" i="4" s="1"/>
  <c r="Q53" i="4"/>
  <c r="S53" i="4" s="1"/>
  <c r="Q51" i="4"/>
  <c r="S51" i="4" s="1"/>
  <c r="Q50" i="4"/>
  <c r="R50" i="4" s="1"/>
  <c r="Q49" i="4"/>
  <c r="S49" i="4" s="1"/>
  <c r="Q48" i="4"/>
  <c r="S48" i="4" s="1"/>
  <c r="Q46" i="4"/>
  <c r="S46" i="4" s="1"/>
  <c r="Q45" i="4"/>
  <c r="S45" i="4" s="1"/>
  <c r="Q44" i="4"/>
  <c r="R44" i="4" s="1"/>
  <c r="Q43" i="4"/>
  <c r="S43" i="4" s="1"/>
  <c r="Q42" i="4"/>
  <c r="S42" i="4" s="1"/>
  <c r="Q41" i="4"/>
  <c r="S41" i="4" s="1"/>
  <c r="Q40" i="4"/>
  <c r="S40" i="4" s="1"/>
  <c r="Q39" i="4"/>
  <c r="S39" i="4" s="1"/>
  <c r="Q38" i="4"/>
  <c r="S38" i="4" s="1"/>
  <c r="Q37" i="4"/>
  <c r="S37" i="4" s="1"/>
  <c r="B512" i="4"/>
  <c r="B509" i="4"/>
  <c r="H202" i="11" s="1"/>
  <c r="B510" i="4"/>
  <c r="J202" i="11" s="1"/>
  <c r="B511" i="4"/>
  <c r="L202" i="11" s="1"/>
  <c r="B508" i="4"/>
  <c r="F202" i="11" s="1"/>
  <c r="B507" i="4"/>
  <c r="D202" i="11" s="1"/>
  <c r="R468" i="4"/>
  <c r="R472" i="4"/>
  <c r="R482" i="4"/>
  <c r="R471" i="4"/>
  <c r="R107" i="4"/>
  <c r="R196" i="4"/>
  <c r="R477" i="4"/>
  <c r="Q35" i="4"/>
  <c r="S35" i="4" s="1"/>
  <c r="Q34" i="4"/>
  <c r="R34" i="4" s="1"/>
  <c r="Q32" i="4"/>
  <c r="R32" i="4" s="1"/>
  <c r="Q31" i="4"/>
  <c r="S31" i="4" s="1"/>
  <c r="Q30" i="4"/>
  <c r="R30" i="4" s="1"/>
  <c r="Q29" i="4"/>
  <c r="S29" i="4" s="1"/>
  <c r="Q27" i="4"/>
  <c r="Q26" i="4"/>
  <c r="Q25" i="4"/>
  <c r="S25" i="4" s="1"/>
  <c r="Q24" i="4"/>
  <c r="S24" i="4" s="1"/>
  <c r="Q23" i="4"/>
  <c r="Q22" i="4"/>
  <c r="Q21" i="4"/>
  <c r="Q20" i="4"/>
  <c r="R20" i="4" s="1"/>
  <c r="Q19" i="4"/>
  <c r="S19" i="4" s="1"/>
  <c r="Q18" i="4"/>
  <c r="R18" i="4" s="1"/>
  <c r="Q17" i="4"/>
  <c r="R17" i="4" s="1"/>
  <c r="Q16" i="4"/>
  <c r="S16" i="4" s="1"/>
  <c r="Q15" i="4"/>
  <c r="R15" i="4" s="1"/>
  <c r="Q14" i="4"/>
  <c r="R14" i="4" s="1"/>
  <c r="Q13" i="4"/>
  <c r="R13" i="4" s="1"/>
  <c r="Q12" i="4"/>
  <c r="R12" i="4" s="1"/>
  <c r="Q11" i="4"/>
  <c r="S11" i="4" s="1"/>
  <c r="Q520" i="5"/>
  <c r="S520" i="5" s="1"/>
  <c r="Q519" i="5"/>
  <c r="S519" i="5" s="1"/>
  <c r="Q518" i="5"/>
  <c r="S518" i="5" s="1"/>
  <c r="Q517" i="5"/>
  <c r="S517" i="5" s="1"/>
  <c r="Q516" i="5"/>
  <c r="R516" i="5" s="1"/>
  <c r="Q515" i="5"/>
  <c r="S515" i="5" s="1"/>
  <c r="Q514" i="5"/>
  <c r="S514" i="5" s="1"/>
  <c r="Q513" i="5"/>
  <c r="R513" i="5" s="1"/>
  <c r="Q512" i="5"/>
  <c r="R512" i="5" s="1"/>
  <c r="Q511" i="5"/>
  <c r="S511" i="5" s="1"/>
  <c r="Q510" i="5"/>
  <c r="S510" i="5" s="1"/>
  <c r="Q509" i="5"/>
  <c r="S509" i="5" s="1"/>
  <c r="Q507" i="5"/>
  <c r="R507" i="5" s="1"/>
  <c r="Q506" i="5"/>
  <c r="S506" i="5" s="1"/>
  <c r="Q505" i="5"/>
  <c r="S505" i="5" s="1"/>
  <c r="Q504" i="5"/>
  <c r="S504" i="5" s="1"/>
  <c r="Q503" i="5"/>
  <c r="R503" i="5" s="1"/>
  <c r="Q502" i="5"/>
  <c r="S502" i="5" s="1"/>
  <c r="Q501" i="5"/>
  <c r="S501" i="5" s="1"/>
  <c r="Q500" i="5"/>
  <c r="R500" i="5" s="1"/>
  <c r="Q499" i="5"/>
  <c r="S499" i="5" s="1"/>
  <c r="Q498" i="5"/>
  <c r="S498" i="5" s="1"/>
  <c r="Q495" i="5"/>
  <c r="R495" i="5" s="1"/>
  <c r="Q494" i="5"/>
  <c r="R494" i="5" s="1"/>
  <c r="Q493" i="5"/>
  <c r="S493" i="5" s="1"/>
  <c r="Q492" i="5"/>
  <c r="S492" i="5" s="1"/>
  <c r="Q491" i="5"/>
  <c r="S491" i="5" s="1"/>
  <c r="Q490" i="5"/>
  <c r="R490" i="5" s="1"/>
  <c r="Q489" i="5"/>
  <c r="S489" i="5" s="1"/>
  <c r="Q488" i="5"/>
  <c r="R488" i="5" s="1"/>
  <c r="Q487" i="5"/>
  <c r="R487" i="5" s="1"/>
  <c r="Q486" i="5"/>
  <c r="R486" i="5" s="1"/>
  <c r="Q485" i="5"/>
  <c r="S485" i="5" s="1"/>
  <c r="Q484" i="5"/>
  <c r="S484" i="5" s="1"/>
  <c r="Q483" i="5"/>
  <c r="R483" i="5" s="1"/>
  <c r="Q481" i="5"/>
  <c r="R481" i="5" s="1"/>
  <c r="Q480" i="5"/>
  <c r="S480" i="5" s="1"/>
  <c r="Q479" i="5"/>
  <c r="R479" i="5" s="1"/>
  <c r="Q478" i="5"/>
  <c r="S478" i="5" s="1"/>
  <c r="Q476" i="5"/>
  <c r="R476" i="5" s="1"/>
  <c r="Q475" i="5"/>
  <c r="S475" i="5" s="1"/>
  <c r="Q474" i="5"/>
  <c r="S474" i="5" s="1"/>
  <c r="Q472" i="5"/>
  <c r="S472" i="5" s="1"/>
  <c r="Q471" i="5"/>
  <c r="R471" i="5" s="1"/>
  <c r="Q470" i="5"/>
  <c r="S470" i="5" s="1"/>
  <c r="Q469" i="5"/>
  <c r="S469" i="5" s="1"/>
  <c r="Q468" i="5"/>
  <c r="S468" i="5" s="1"/>
  <c r="Q467" i="5"/>
  <c r="S467" i="5" s="1"/>
  <c r="Q466" i="5"/>
  <c r="R466" i="5" s="1"/>
  <c r="Q465" i="5"/>
  <c r="S465" i="5" s="1"/>
  <c r="Q464" i="5"/>
  <c r="S464" i="5" s="1"/>
  <c r="Q463" i="5"/>
  <c r="R463" i="5" s="1"/>
  <c r="Q462" i="5"/>
  <c r="R462" i="5" s="1"/>
  <c r="Q461" i="5"/>
  <c r="S461" i="5" s="1"/>
  <c r="Q460" i="5"/>
  <c r="S460" i="5" s="1"/>
  <c r="Q459" i="5"/>
  <c r="R459" i="5" s="1"/>
  <c r="Q458" i="5"/>
  <c r="R458" i="5" s="1"/>
  <c r="Q457" i="5"/>
  <c r="S457" i="5" s="1"/>
  <c r="Q456" i="5"/>
  <c r="S456" i="5" s="1"/>
  <c r="Q455" i="5"/>
  <c r="R455" i="5" s="1"/>
  <c r="Q454" i="5"/>
  <c r="S454" i="5" s="1"/>
  <c r="Q453" i="5"/>
  <c r="S453" i="5" s="1"/>
  <c r="Q452" i="5"/>
  <c r="S452" i="5" s="1"/>
  <c r="Q451" i="5"/>
  <c r="R451" i="5" s="1"/>
  <c r="Q450" i="5"/>
  <c r="R450" i="5" s="1"/>
  <c r="Q449" i="5"/>
  <c r="S449" i="5" s="1"/>
  <c r="Q448" i="5"/>
  <c r="S448" i="5" s="1"/>
  <c r="Q447" i="5"/>
  <c r="R447" i="5" s="1"/>
  <c r="Q446" i="5"/>
  <c r="R446" i="5" s="1"/>
  <c r="S445" i="5"/>
  <c r="Q444" i="5"/>
  <c r="S444" i="5" s="1"/>
  <c r="Q438" i="5"/>
  <c r="R438" i="5" s="1"/>
  <c r="Q437" i="5"/>
  <c r="S437" i="5" s="1"/>
  <c r="Q436" i="5"/>
  <c r="S436" i="5" s="1"/>
  <c r="Q435" i="5"/>
  <c r="S435" i="5" s="1"/>
  <c r="Q434" i="5"/>
  <c r="R434" i="5" s="1"/>
  <c r="Q433" i="5"/>
  <c r="S433" i="5" s="1"/>
  <c r="Q432" i="5"/>
  <c r="S432" i="5" s="1"/>
  <c r="Q431" i="5"/>
  <c r="S431" i="5" s="1"/>
  <c r="Q430" i="5"/>
  <c r="R430" i="5" s="1"/>
  <c r="Q429" i="5"/>
  <c r="R429" i="5" s="1"/>
  <c r="Q428" i="5"/>
  <c r="S428" i="5" s="1"/>
  <c r="Q427" i="5"/>
  <c r="R427" i="5" s="1"/>
  <c r="Q426" i="5"/>
  <c r="R426" i="5" s="1"/>
  <c r="Q425" i="5"/>
  <c r="R425" i="5" s="1"/>
  <c r="Q424" i="5"/>
  <c r="S424" i="5" s="1"/>
  <c r="Q423" i="5"/>
  <c r="S423" i="5" s="1"/>
  <c r="Q422" i="5"/>
  <c r="S422" i="5" s="1"/>
  <c r="Q421" i="5"/>
  <c r="S421" i="5" s="1"/>
  <c r="Q420" i="5"/>
  <c r="S420" i="5" s="1"/>
  <c r="Q419" i="5"/>
  <c r="R419" i="5" s="1"/>
  <c r="Q418" i="5"/>
  <c r="R418" i="5" s="1"/>
  <c r="Q417" i="5"/>
  <c r="S417" i="5" s="1"/>
  <c r="Q416" i="5"/>
  <c r="S416" i="5" s="1"/>
  <c r="Q415" i="5"/>
  <c r="S415" i="5" s="1"/>
  <c r="Q414" i="5"/>
  <c r="R414" i="5" s="1"/>
  <c r="Q413" i="5"/>
  <c r="S413" i="5" s="1"/>
  <c r="Q412" i="5"/>
  <c r="S412" i="5" s="1"/>
  <c r="Q411" i="5"/>
  <c r="S411" i="5" s="1"/>
  <c r="Q410" i="5"/>
  <c r="R410" i="5" s="1"/>
  <c r="Q409" i="5"/>
  <c r="R409" i="5" s="1"/>
  <c r="Q408" i="5"/>
  <c r="S408" i="5" s="1"/>
  <c r="Q407" i="5"/>
  <c r="S407" i="5" s="1"/>
  <c r="Q406" i="5"/>
  <c r="S406" i="5" s="1"/>
  <c r="Q405" i="5"/>
  <c r="S405" i="5" s="1"/>
  <c r="Q404" i="5"/>
  <c r="S404" i="5" s="1"/>
  <c r="Q403" i="5"/>
  <c r="S403" i="5" s="1"/>
  <c r="Q402" i="5"/>
  <c r="R402" i="5" s="1"/>
  <c r="Q401" i="5"/>
  <c r="S401" i="5" s="1"/>
  <c r="Q400" i="5"/>
  <c r="S400" i="5" s="1"/>
  <c r="Q399" i="5"/>
  <c r="S399" i="5" s="1"/>
  <c r="Q398" i="5"/>
  <c r="S398" i="5" s="1"/>
  <c r="Q397" i="5"/>
  <c r="S397" i="5" s="1"/>
  <c r="Q396" i="5"/>
  <c r="S396" i="5" s="1"/>
  <c r="Q395" i="5"/>
  <c r="S395" i="5" s="1"/>
  <c r="Q394" i="5"/>
  <c r="R394" i="5" s="1"/>
  <c r="Q393" i="5"/>
  <c r="S393" i="5" s="1"/>
  <c r="Q392" i="5"/>
  <c r="S392" i="5" s="1"/>
  <c r="Q391" i="5"/>
  <c r="S391" i="5" s="1"/>
  <c r="Q390" i="5"/>
  <c r="R390" i="5" s="1"/>
  <c r="Q389" i="5"/>
  <c r="S389" i="5" s="1"/>
  <c r="Q388" i="5"/>
  <c r="S388" i="5" s="1"/>
  <c r="Q387" i="5"/>
  <c r="R387" i="5" s="1"/>
  <c r="Q386" i="5"/>
  <c r="R386" i="5" s="1"/>
  <c r="Q385" i="5"/>
  <c r="S385" i="5" s="1"/>
  <c r="Q384" i="5"/>
  <c r="S384" i="5" s="1"/>
  <c r="Q383" i="5"/>
  <c r="S383" i="5" s="1"/>
  <c r="Q382" i="5"/>
  <c r="R382" i="5" s="1"/>
  <c r="Q381" i="5"/>
  <c r="S381" i="5" s="1"/>
  <c r="Q380" i="5"/>
  <c r="S380" i="5" s="1"/>
  <c r="Q379" i="5"/>
  <c r="S379" i="5" s="1"/>
  <c r="Q378" i="5"/>
  <c r="R378" i="5" s="1"/>
  <c r="Q377" i="5"/>
  <c r="R377" i="5" s="1"/>
  <c r="Q376" i="5"/>
  <c r="R376" i="5" s="1"/>
  <c r="Q375" i="5"/>
  <c r="S375" i="5" s="1"/>
  <c r="Q374" i="5"/>
  <c r="S374" i="5" s="1"/>
  <c r="Q373" i="5"/>
  <c r="S373" i="5" s="1"/>
  <c r="Q372" i="5"/>
  <c r="S372" i="5" s="1"/>
  <c r="Q371" i="5"/>
  <c r="S371" i="5" s="1"/>
  <c r="Q370" i="5"/>
  <c r="R370" i="5" s="1"/>
  <c r="Q369" i="5"/>
  <c r="S369" i="5" s="1"/>
  <c r="Q368" i="5"/>
  <c r="S368" i="5" s="1"/>
  <c r="Q367" i="5"/>
  <c r="S367" i="5" s="1"/>
  <c r="Q366" i="5"/>
  <c r="R366" i="5" s="1"/>
  <c r="Q365" i="5"/>
  <c r="R365" i="5" s="1"/>
  <c r="Q364" i="5"/>
  <c r="S364" i="5" s="1"/>
  <c r="Q363" i="5"/>
  <c r="R363" i="5" s="1"/>
  <c r="Q362" i="5"/>
  <c r="R362" i="5" s="1"/>
  <c r="Q361" i="5"/>
  <c r="S361" i="5" s="1"/>
  <c r="Q360" i="5"/>
  <c r="R360" i="5" s="1"/>
  <c r="Q359" i="5"/>
  <c r="S359" i="5" s="1"/>
  <c r="Q358" i="5"/>
  <c r="R358" i="5" s="1"/>
  <c r="Q356" i="5"/>
  <c r="R356" i="5" s="1"/>
  <c r="Q355" i="5"/>
  <c r="S355" i="5" s="1"/>
  <c r="Q354" i="5"/>
  <c r="R354" i="5" s="1"/>
  <c r="Q353" i="5"/>
  <c r="R353" i="5" s="1"/>
  <c r="Q352" i="5"/>
  <c r="S352" i="5" s="1"/>
  <c r="Q351" i="5"/>
  <c r="S351" i="5" s="1"/>
  <c r="Q350" i="5"/>
  <c r="S350" i="5" s="1"/>
  <c r="Q349" i="5"/>
  <c r="S349" i="5" s="1"/>
  <c r="Q348" i="5"/>
  <c r="S348" i="5" s="1"/>
  <c r="Q347" i="5"/>
  <c r="S347" i="5" s="1"/>
  <c r="Q346" i="5"/>
  <c r="S346" i="5" s="1"/>
  <c r="Q345" i="5"/>
  <c r="S345" i="5" s="1"/>
  <c r="Q344" i="5"/>
  <c r="R344" i="5" s="1"/>
  <c r="Q343" i="5"/>
  <c r="S343" i="5" s="1"/>
  <c r="Q342" i="5"/>
  <c r="R342" i="5" s="1"/>
  <c r="Q341" i="5"/>
  <c r="S341" i="5" s="1"/>
  <c r="Q340" i="5"/>
  <c r="R340" i="5" s="1"/>
  <c r="Q339" i="5"/>
  <c r="R339" i="5" s="1"/>
  <c r="Q338" i="5"/>
  <c r="S338" i="5" s="1"/>
  <c r="Q337" i="5"/>
  <c r="S337" i="5" s="1"/>
  <c r="Q336" i="5"/>
  <c r="R336" i="5" s="1"/>
  <c r="Q335" i="5"/>
  <c r="R335" i="5" s="1"/>
  <c r="Q334" i="5"/>
  <c r="S334" i="5" s="1"/>
  <c r="Q333" i="5"/>
  <c r="S333" i="5" s="1"/>
  <c r="Q332" i="5"/>
  <c r="S332" i="5" s="1"/>
  <c r="Q331" i="5"/>
  <c r="R331" i="5" s="1"/>
  <c r="Q330" i="5"/>
  <c r="S330" i="5" s="1"/>
  <c r="Q329" i="5"/>
  <c r="S329" i="5" s="1"/>
  <c r="Q328" i="5"/>
  <c r="S328" i="5" s="1"/>
  <c r="Q327" i="5"/>
  <c r="S327" i="5" s="1"/>
  <c r="Q326" i="5"/>
  <c r="S326" i="5" s="1"/>
  <c r="Q325" i="5"/>
  <c r="R325" i="5" s="1"/>
  <c r="Q324" i="5"/>
  <c r="S324" i="5" s="1"/>
  <c r="Q323" i="5"/>
  <c r="S323" i="5" s="1"/>
  <c r="Q322" i="5"/>
  <c r="R322" i="5" s="1"/>
  <c r="Q321" i="5"/>
  <c r="S321" i="5" s="1"/>
  <c r="Q320" i="5"/>
  <c r="R320" i="5" s="1"/>
  <c r="Q319" i="5"/>
  <c r="S319" i="5" s="1"/>
  <c r="Q318" i="5"/>
  <c r="R318" i="5" s="1"/>
  <c r="Q317" i="5"/>
  <c r="S317" i="5" s="1"/>
  <c r="Q316" i="5"/>
  <c r="S316" i="5" s="1"/>
  <c r="Q315" i="5"/>
  <c r="S315" i="5" s="1"/>
  <c r="Q314" i="5"/>
  <c r="R314" i="5" s="1"/>
  <c r="Q313" i="5"/>
  <c r="S313" i="5" s="1"/>
  <c r="Q312" i="5"/>
  <c r="R312" i="5" s="1"/>
  <c r="Q311" i="5"/>
  <c r="S311" i="5" s="1"/>
  <c r="Q310" i="5"/>
  <c r="S310" i="5" s="1"/>
  <c r="Q309" i="5"/>
  <c r="S309" i="5" s="1"/>
  <c r="Q308" i="5"/>
  <c r="R308" i="5" s="1"/>
  <c r="Q307" i="5"/>
  <c r="R307" i="5" s="1"/>
  <c r="Q306" i="5"/>
  <c r="S306" i="5" s="1"/>
  <c r="Q305" i="5"/>
  <c r="S305" i="5" s="1"/>
  <c r="Q304" i="5"/>
  <c r="S304" i="5" s="1"/>
  <c r="Q303" i="5"/>
  <c r="S303" i="5" s="1"/>
  <c r="Q302" i="5"/>
  <c r="R302" i="5" s="1"/>
  <c r="Q301" i="5"/>
  <c r="R301" i="5" s="1"/>
  <c r="Q300" i="5"/>
  <c r="S300" i="5" s="1"/>
  <c r="Q299" i="5"/>
  <c r="S299" i="5" s="1"/>
  <c r="Q298" i="5"/>
  <c r="R298" i="5" s="1"/>
  <c r="Q297" i="5"/>
  <c r="S297" i="5" s="1"/>
  <c r="Q296" i="5"/>
  <c r="S296" i="5" s="1"/>
  <c r="Q295" i="5"/>
  <c r="S295" i="5" s="1"/>
  <c r="Q294" i="5"/>
  <c r="R294" i="5" s="1"/>
  <c r="Q293" i="5"/>
  <c r="S293" i="5" s="1"/>
  <c r="Q292" i="5"/>
  <c r="S292" i="5" s="1"/>
  <c r="Q291" i="5"/>
  <c r="S291" i="5" s="1"/>
  <c r="Q290" i="5"/>
  <c r="R290" i="5" s="1"/>
  <c r="Q289" i="5"/>
  <c r="S289" i="5" s="1"/>
  <c r="Q288" i="5"/>
  <c r="S288" i="5" s="1"/>
  <c r="Q287" i="5"/>
  <c r="S287" i="5" s="1"/>
  <c r="Q286" i="5"/>
  <c r="S286" i="5" s="1"/>
  <c r="Q285" i="5"/>
  <c r="S285" i="5" s="1"/>
  <c r="Q284" i="5"/>
  <c r="R284" i="5" s="1"/>
  <c r="Q283" i="5"/>
  <c r="R283" i="5" s="1"/>
  <c r="Q282" i="5"/>
  <c r="R282" i="5" s="1"/>
  <c r="Q281" i="5"/>
  <c r="S281" i="5" s="1"/>
  <c r="Q280" i="5"/>
  <c r="S280" i="5" s="1"/>
  <c r="Q279" i="5"/>
  <c r="S279" i="5" s="1"/>
  <c r="Q278" i="5"/>
  <c r="S278" i="5" s="1"/>
  <c r="Q277" i="5"/>
  <c r="S277" i="5" s="1"/>
  <c r="Q276" i="5"/>
  <c r="S276" i="5" s="1"/>
  <c r="Q275" i="5"/>
  <c r="R275" i="5" s="1"/>
  <c r="Q274" i="5"/>
  <c r="R274" i="5" s="1"/>
  <c r="Q273" i="5"/>
  <c r="S273" i="5" s="1"/>
  <c r="Q271" i="5"/>
  <c r="S271" i="5" s="1"/>
  <c r="Q270" i="5"/>
  <c r="R270" i="5" s="1"/>
  <c r="Q269" i="5"/>
  <c r="R269" i="5" s="1"/>
  <c r="Q268" i="5"/>
  <c r="S268" i="5" s="1"/>
  <c r="Q267" i="5"/>
  <c r="S267" i="5" s="1"/>
  <c r="Q266" i="5"/>
  <c r="R266" i="5" s="1"/>
  <c r="Q265" i="5"/>
  <c r="S265" i="5" s="1"/>
  <c r="Q264" i="5"/>
  <c r="S264" i="5" s="1"/>
  <c r="Q263" i="5"/>
  <c r="S263" i="5" s="1"/>
  <c r="Q261" i="5"/>
  <c r="S261" i="5" s="1"/>
  <c r="Q260" i="5"/>
  <c r="S260" i="5" s="1"/>
  <c r="Q259" i="5"/>
  <c r="S259" i="5" s="1"/>
  <c r="Q258" i="5"/>
  <c r="R258" i="5" s="1"/>
  <c r="Q257" i="5"/>
  <c r="S257" i="5" s="1"/>
  <c r="Q256" i="5"/>
  <c r="S256" i="5" s="1"/>
  <c r="Q255" i="5"/>
  <c r="S255" i="5" s="1"/>
  <c r="Q254" i="5"/>
  <c r="S254" i="5" s="1"/>
  <c r="Q253" i="5"/>
  <c r="S253" i="5" s="1"/>
  <c r="Q252" i="5"/>
  <c r="S252" i="5" s="1"/>
  <c r="Q251" i="5"/>
  <c r="R251" i="5" s="1"/>
  <c r="Q250" i="5"/>
  <c r="S250" i="5" s="1"/>
  <c r="Q249" i="5"/>
  <c r="S249" i="5" s="1"/>
  <c r="Q248" i="5"/>
  <c r="S248" i="5" s="1"/>
  <c r="Q247" i="5"/>
  <c r="R247" i="5" s="1"/>
  <c r="Q246" i="5"/>
  <c r="S246" i="5" s="1"/>
  <c r="Q245" i="5"/>
  <c r="S245" i="5" s="1"/>
  <c r="Q244" i="5"/>
  <c r="S244" i="5" s="1"/>
  <c r="Q243" i="5"/>
  <c r="R243" i="5" s="1"/>
  <c r="Q241" i="5"/>
  <c r="R241" i="5" s="1"/>
  <c r="Q240" i="5"/>
  <c r="S240" i="5" s="1"/>
  <c r="Q239" i="5"/>
  <c r="S239" i="5" s="1"/>
  <c r="Q238" i="5"/>
  <c r="S238" i="5" s="1"/>
  <c r="Q237" i="5"/>
  <c r="S237" i="5" s="1"/>
  <c r="Q236" i="5"/>
  <c r="R236" i="5" s="1"/>
  <c r="Q235" i="5"/>
  <c r="S235" i="5" s="1"/>
  <c r="Q234" i="5"/>
  <c r="R234" i="5" s="1"/>
  <c r="Q233" i="5"/>
  <c r="R233" i="5" s="1"/>
  <c r="Q232" i="5"/>
  <c r="S232" i="5" s="1"/>
  <c r="Q231" i="5"/>
  <c r="R231" i="5" s="1"/>
  <c r="Q230" i="5"/>
  <c r="R230" i="5" s="1"/>
  <c r="Q229" i="5"/>
  <c r="S229" i="5" s="1"/>
  <c r="Q228" i="5"/>
  <c r="S228" i="5" s="1"/>
  <c r="Q227" i="5"/>
  <c r="S227" i="5" s="1"/>
  <c r="Q226" i="5"/>
  <c r="R226" i="5" s="1"/>
  <c r="Q225" i="5"/>
  <c r="S225" i="5" s="1"/>
  <c r="Q224" i="5"/>
  <c r="S224" i="5" s="1"/>
  <c r="Q223" i="5"/>
  <c r="R223" i="5" s="1"/>
  <c r="Q222" i="5"/>
  <c r="R222" i="5" s="1"/>
  <c r="Q221" i="5"/>
  <c r="R221" i="5" s="1"/>
  <c r="Q220" i="5"/>
  <c r="R220" i="5" s="1"/>
  <c r="Q219" i="5"/>
  <c r="S219" i="5" s="1"/>
  <c r="Q218" i="5"/>
  <c r="R218" i="5" s="1"/>
  <c r="Q217" i="5"/>
  <c r="S217" i="5" s="1"/>
  <c r="Q216" i="5"/>
  <c r="S216" i="5" s="1"/>
  <c r="Q215" i="5"/>
  <c r="S215" i="5" s="1"/>
  <c r="Q214" i="5"/>
  <c r="S214" i="5" s="1"/>
  <c r="Q213" i="5"/>
  <c r="S213" i="5" s="1"/>
  <c r="Q212" i="5"/>
  <c r="R212" i="5" s="1"/>
  <c r="Q210" i="5"/>
  <c r="R210" i="5" s="1"/>
  <c r="Q209" i="5"/>
  <c r="R209" i="5" s="1"/>
  <c r="Q208" i="5"/>
  <c r="S208" i="5" s="1"/>
  <c r="Q207" i="5"/>
  <c r="S207" i="5" s="1"/>
  <c r="Q206" i="5"/>
  <c r="R206" i="5" s="1"/>
  <c r="Q205" i="5"/>
  <c r="S205" i="5" s="1"/>
  <c r="Q204" i="5"/>
  <c r="S204" i="5" s="1"/>
  <c r="Q203" i="5"/>
  <c r="S203" i="5" s="1"/>
  <c r="Q202" i="5"/>
  <c r="S202" i="5" s="1"/>
  <c r="Q201" i="5"/>
  <c r="S201" i="5" s="1"/>
  <c r="Q200" i="5"/>
  <c r="R200" i="5" s="1"/>
  <c r="Q199" i="5"/>
  <c r="R199" i="5" s="1"/>
  <c r="Q198" i="5"/>
  <c r="S198" i="5" s="1"/>
  <c r="Q197" i="5"/>
  <c r="S197" i="5" s="1"/>
  <c r="Q196" i="5"/>
  <c r="R196" i="5" s="1"/>
  <c r="Q195" i="5"/>
  <c r="R195" i="5" s="1"/>
  <c r="Q194" i="5"/>
  <c r="S194" i="5" s="1"/>
  <c r="Q192" i="5"/>
  <c r="S192" i="5" s="1"/>
  <c r="Q191" i="5"/>
  <c r="R191" i="5" s="1"/>
  <c r="Q190" i="5"/>
  <c r="S190" i="5" s="1"/>
  <c r="Q189" i="5"/>
  <c r="S189" i="5" s="1"/>
  <c r="Q188" i="5"/>
  <c r="S188" i="5" s="1"/>
  <c r="Q187" i="5"/>
  <c r="R187" i="5" s="1"/>
  <c r="Q186" i="5"/>
  <c r="S186" i="5" s="1"/>
  <c r="Q185" i="5"/>
  <c r="S185" i="5" s="1"/>
  <c r="Q184" i="5"/>
  <c r="S184" i="5" s="1"/>
  <c r="Q183" i="5"/>
  <c r="S183" i="5" s="1"/>
  <c r="Q182" i="5"/>
  <c r="R182" i="5" s="1"/>
  <c r="Q181" i="5"/>
  <c r="S181" i="5" s="1"/>
  <c r="Q180" i="5"/>
  <c r="S180" i="5" s="1"/>
  <c r="Q179" i="5"/>
  <c r="S179" i="5" s="1"/>
  <c r="Q178" i="5"/>
  <c r="S178" i="5" s="1"/>
  <c r="Q177" i="5"/>
  <c r="S177" i="5" s="1"/>
  <c r="Q11" i="5"/>
  <c r="R11" i="5" s="1"/>
  <c r="Q160" i="5"/>
  <c r="R160" i="5" s="1"/>
  <c r="Q159" i="5"/>
  <c r="S159" i="5" s="1"/>
  <c r="Q158" i="5"/>
  <c r="S158" i="5" s="1"/>
  <c r="Q157" i="5"/>
  <c r="R157" i="5" s="1"/>
  <c r="Q156" i="5"/>
  <c r="R156" i="5" s="1"/>
  <c r="Q155" i="5"/>
  <c r="S155" i="5" s="1"/>
  <c r="Q154" i="5"/>
  <c r="S154" i="5" s="1"/>
  <c r="Q153" i="5"/>
  <c r="R153" i="5" s="1"/>
  <c r="Q152" i="5"/>
  <c r="S152" i="5" s="1"/>
  <c r="Q151" i="5"/>
  <c r="S151" i="5" s="1"/>
  <c r="Q150" i="5"/>
  <c r="S150" i="5" s="1"/>
  <c r="Q149" i="5"/>
  <c r="R149" i="5" s="1"/>
  <c r="Q148" i="5"/>
  <c r="S148" i="5" s="1"/>
  <c r="Q147" i="5"/>
  <c r="S147" i="5" s="1"/>
  <c r="Q146" i="5"/>
  <c r="S146" i="5" s="1"/>
  <c r="Q145" i="5"/>
  <c r="S145" i="5" s="1"/>
  <c r="Q144" i="5"/>
  <c r="S144" i="5" s="1"/>
  <c r="Q143" i="5"/>
  <c r="S143" i="5" s="1"/>
  <c r="Q142" i="5"/>
  <c r="S142" i="5" s="1"/>
  <c r="Q141" i="5"/>
  <c r="R141" i="5" s="1"/>
  <c r="Q140" i="5"/>
  <c r="R140" i="5" s="1"/>
  <c r="Q139" i="5"/>
  <c r="S139" i="5" s="1"/>
  <c r="Q138" i="5"/>
  <c r="S138" i="5" s="1"/>
  <c r="Q137" i="5"/>
  <c r="S137" i="5" s="1"/>
  <c r="Q136" i="5"/>
  <c r="S136" i="5" s="1"/>
  <c r="Q135" i="5"/>
  <c r="R135" i="5" s="1"/>
  <c r="Q134" i="5"/>
  <c r="S134" i="5" s="1"/>
  <c r="Q133" i="5"/>
  <c r="R133" i="5" s="1"/>
  <c r="Q176" i="5"/>
  <c r="R176" i="5" s="1"/>
  <c r="Q175" i="5"/>
  <c r="S175" i="5" s="1"/>
  <c r="Q174" i="5"/>
  <c r="S174" i="5" s="1"/>
  <c r="Q173" i="5"/>
  <c r="S173" i="5" s="1"/>
  <c r="Q172" i="5"/>
  <c r="S172" i="5" s="1"/>
  <c r="Q171" i="5"/>
  <c r="S171" i="5" s="1"/>
  <c r="Q169" i="5"/>
  <c r="S169" i="5" s="1"/>
  <c r="Q168" i="5"/>
  <c r="S168" i="5" s="1"/>
  <c r="Q166" i="5"/>
  <c r="S166" i="5" s="1"/>
  <c r="Q165" i="5"/>
  <c r="S165" i="5" s="1"/>
  <c r="Q164" i="5"/>
  <c r="S164" i="5" s="1"/>
  <c r="Q163" i="5"/>
  <c r="S163" i="5" s="1"/>
  <c r="Q162" i="5"/>
  <c r="S162" i="5" s="1"/>
  <c r="Q161" i="5"/>
  <c r="S161" i="5" s="1"/>
  <c r="R225" i="5"/>
  <c r="R192" i="5"/>
  <c r="R445" i="5"/>
  <c r="Q29" i="8"/>
  <c r="R29" i="8" s="1"/>
  <c r="Q28" i="8"/>
  <c r="S28" i="8" s="1"/>
  <c r="Q25" i="8"/>
  <c r="S25" i="8" s="1"/>
  <c r="Q24" i="8"/>
  <c r="S24" i="8" s="1"/>
  <c r="R28" i="8"/>
  <c r="Q78" i="7"/>
  <c r="S78" i="7" s="1"/>
  <c r="Q77" i="7"/>
  <c r="S77" i="7" s="1"/>
  <c r="Q76" i="7"/>
  <c r="S76" i="7" s="1"/>
  <c r="Q75" i="7"/>
  <c r="S75" i="7" s="1"/>
  <c r="Q74" i="7"/>
  <c r="S74" i="7" s="1"/>
  <c r="Q73" i="7"/>
  <c r="Q71" i="7"/>
  <c r="S71" i="7"/>
  <c r="Q69" i="7"/>
  <c r="S69" i="7" s="1"/>
  <c r="Q68" i="7"/>
  <c r="R68" i="7" s="1"/>
  <c r="Q67" i="7"/>
  <c r="S67" i="7" s="1"/>
  <c r="Q66" i="7"/>
  <c r="R66" i="7" s="1"/>
  <c r="Q65" i="7"/>
  <c r="R65" i="7" s="1"/>
  <c r="Q62" i="7"/>
  <c r="R62" i="7" s="1"/>
  <c r="Q61" i="7"/>
  <c r="R61" i="7" s="1"/>
  <c r="Q60" i="7"/>
  <c r="R60" i="7" s="1"/>
  <c r="Q59" i="7"/>
  <c r="S59" i="7" s="1"/>
  <c r="S61" i="7"/>
  <c r="S62" i="7"/>
  <c r="R78" i="7"/>
  <c r="R76" i="7"/>
  <c r="R69" i="7"/>
  <c r="R71" i="7"/>
  <c r="Q58" i="7"/>
  <c r="S58" i="7" s="1"/>
  <c r="Q57" i="7"/>
  <c r="Q56" i="7"/>
  <c r="S56" i="7" s="1"/>
  <c r="Q55" i="7"/>
  <c r="S55" i="7" s="1"/>
  <c r="Q54" i="7"/>
  <c r="R54" i="7" s="1"/>
  <c r="Q53" i="7"/>
  <c r="R53" i="7" s="1"/>
  <c r="Q52" i="7"/>
  <c r="S52" i="7" s="1"/>
  <c r="Q51" i="7"/>
  <c r="R51" i="7" s="1"/>
  <c r="Q50" i="7"/>
  <c r="R50" i="7" s="1"/>
  <c r="Q49" i="7"/>
  <c r="Q48" i="7"/>
  <c r="S48" i="7" s="1"/>
  <c r="R49" i="7"/>
  <c r="S49" i="7"/>
  <c r="R57" i="7"/>
  <c r="S57" i="7"/>
  <c r="S54" i="7"/>
  <c r="Q45" i="7"/>
  <c r="S45" i="7" s="1"/>
  <c r="Q46" i="7"/>
  <c r="R46" i="7" s="1"/>
  <c r="Q47" i="7"/>
  <c r="S47" i="7" s="1"/>
  <c r="Q39" i="7"/>
  <c r="R39" i="7" s="1"/>
  <c r="Q38" i="7"/>
  <c r="R38" i="7" s="1"/>
  <c r="Q37" i="7"/>
  <c r="S37" i="7" s="1"/>
  <c r="Q36" i="7"/>
  <c r="R36" i="7" s="1"/>
  <c r="S36" i="7"/>
  <c r="Q35" i="7"/>
  <c r="S35" i="7" s="1"/>
  <c r="Q34" i="7"/>
  <c r="S34" i="7" s="1"/>
  <c r="Q33" i="7"/>
  <c r="S33" i="7" s="1"/>
  <c r="Q32" i="7"/>
  <c r="S32" i="7" s="1"/>
  <c r="Q31" i="7"/>
  <c r="R31" i="7" s="1"/>
  <c r="Q30" i="7"/>
  <c r="R30" i="7" s="1"/>
  <c r="Q27" i="7"/>
  <c r="S27" i="7" s="1"/>
  <c r="Q26" i="7"/>
  <c r="S26" i="7" s="1"/>
  <c r="S38" i="7"/>
  <c r="S46" i="7"/>
  <c r="R32" i="7"/>
  <c r="S44" i="7"/>
  <c r="R27" i="7"/>
  <c r="Q20" i="7"/>
  <c r="Q21" i="7"/>
  <c r="Q22" i="7"/>
  <c r="Q24" i="7"/>
  <c r="Q25" i="7"/>
  <c r="R25" i="7" s="1"/>
  <c r="Q41" i="7"/>
  <c r="R41" i="7" s="1"/>
  <c r="Q42" i="7"/>
  <c r="R42" i="7" s="1"/>
  <c r="Q43" i="7"/>
  <c r="Q14" i="7"/>
  <c r="S14" i="7" s="1"/>
  <c r="Q13" i="7"/>
  <c r="Q12" i="7"/>
  <c r="Q11" i="7"/>
  <c r="S11" i="7" s="1"/>
  <c r="D43" i="11"/>
  <c r="F43" i="11"/>
  <c r="H43" i="11"/>
  <c r="J43" i="11"/>
  <c r="L43" i="11"/>
  <c r="J47" i="11"/>
  <c r="D48" i="11"/>
  <c r="F48" i="11"/>
  <c r="H48" i="11"/>
  <c r="J48" i="11"/>
  <c r="L48" i="11"/>
  <c r="D83" i="11"/>
  <c r="F83" i="11"/>
  <c r="F97" i="11"/>
  <c r="D115" i="11"/>
  <c r="F115" i="11"/>
  <c r="H115" i="11"/>
  <c r="J115" i="11"/>
  <c r="L115" i="11"/>
  <c r="H147" i="11"/>
  <c r="D9" i="10"/>
  <c r="B25" i="11" s="1"/>
  <c r="D10" i="10"/>
  <c r="B26" i="11" s="1"/>
  <c r="D11" i="10"/>
  <c r="D12" i="10"/>
  <c r="B28" i="11" s="1"/>
  <c r="D13" i="10"/>
  <c r="B29" i="11" s="1"/>
  <c r="D14" i="10"/>
  <c r="B30" i="11" s="1"/>
  <c r="D15" i="10"/>
  <c r="B31" i="11" s="1"/>
  <c r="D16" i="10"/>
  <c r="B32" i="11" s="1"/>
  <c r="D17" i="10"/>
  <c r="B33" i="11" s="1"/>
  <c r="C18" i="10"/>
  <c r="E18" i="10"/>
  <c r="D20" i="10"/>
  <c r="B40" i="11" s="1"/>
  <c r="D21" i="10"/>
  <c r="D28" i="10"/>
  <c r="B48" i="11" s="1"/>
  <c r="C30" i="10"/>
  <c r="E30" i="10"/>
  <c r="C48" i="10"/>
  <c r="E48" i="10"/>
  <c r="D51" i="10"/>
  <c r="B81" i="11" s="1"/>
  <c r="D58" i="10"/>
  <c r="B88" i="11" s="1"/>
  <c r="D59" i="10"/>
  <c r="B89" i="11" s="1"/>
  <c r="D62" i="10"/>
  <c r="B92" i="11" s="1"/>
  <c r="D63" i="10"/>
  <c r="B93" i="11" s="1"/>
  <c r="C68" i="10"/>
  <c r="E68" i="10"/>
  <c r="D70" i="10"/>
  <c r="B104" i="11" s="1"/>
  <c r="D72" i="10"/>
  <c r="B106" i="11" s="1"/>
  <c r="D73" i="10"/>
  <c r="B107" i="11" s="1"/>
  <c r="D76" i="10"/>
  <c r="B110" i="11" s="1"/>
  <c r="D77" i="10"/>
  <c r="B111" i="11" s="1"/>
  <c r="D78" i="10"/>
  <c r="B112" i="11" s="1"/>
  <c r="D81" i="10"/>
  <c r="B115" i="11" s="1"/>
  <c r="D83" i="10"/>
  <c r="B117" i="11" s="1"/>
  <c r="D87" i="10"/>
  <c r="B121" i="11" s="1"/>
  <c r="D89" i="10"/>
  <c r="B123" i="11" s="1"/>
  <c r="C92" i="10"/>
  <c r="E92" i="10"/>
  <c r="D95" i="10"/>
  <c r="B134" i="11" s="1"/>
  <c r="C99" i="10"/>
  <c r="E99" i="10"/>
  <c r="D101" i="10"/>
  <c r="B144" i="11" s="1"/>
  <c r="D103" i="10"/>
  <c r="B146" i="11" s="1"/>
  <c r="D104" i="10"/>
  <c r="B147" i="11" s="1"/>
  <c r="C106" i="10"/>
  <c r="E106" i="10"/>
  <c r="D107" i="10"/>
  <c r="B155" i="11" s="1"/>
  <c r="D109" i="10"/>
  <c r="B157" i="11" s="1"/>
  <c r="D110" i="10"/>
  <c r="B158" i="11" s="1"/>
  <c r="D111" i="10"/>
  <c r="B159" i="11" s="1"/>
  <c r="D112" i="10"/>
  <c r="B160" i="11" s="1"/>
  <c r="D113" i="10"/>
  <c r="B161" i="11" s="1"/>
  <c r="C117" i="10"/>
  <c r="E117" i="10"/>
  <c r="D119" i="10"/>
  <c r="B172" i="11" s="1"/>
  <c r="D120" i="10"/>
  <c r="B173" i="11" s="1"/>
  <c r="D123" i="10"/>
  <c r="B176" i="11" s="1"/>
  <c r="D124" i="10"/>
  <c r="B177" i="11" s="1"/>
  <c r="D127" i="10"/>
  <c r="B180" i="11" s="1"/>
  <c r="D128" i="10"/>
  <c r="D129" i="10"/>
  <c r="B182" i="11" s="1"/>
  <c r="D130" i="10"/>
  <c r="B183" i="11" s="1"/>
  <c r="D132" i="10"/>
  <c r="B185" i="11" s="1"/>
  <c r="D134" i="10"/>
  <c r="B187" i="11" s="1"/>
  <c r="D135" i="10"/>
  <c r="B188" i="11" s="1"/>
  <c r="D139" i="10"/>
  <c r="B192" i="11" s="1"/>
  <c r="C141" i="10"/>
  <c r="E141" i="10"/>
  <c r="Q12" i="9"/>
  <c r="S12" i="9" s="1"/>
  <c r="Q13" i="9"/>
  <c r="S13" i="9" s="1"/>
  <c r="Q14" i="9"/>
  <c r="S14" i="9" s="1"/>
  <c r="Q15" i="9"/>
  <c r="S15" i="9" s="1"/>
  <c r="Q18" i="9"/>
  <c r="R18" i="9" s="1"/>
  <c r="Q19" i="9"/>
  <c r="S19" i="9" s="1"/>
  <c r="Q20" i="9"/>
  <c r="S20" i="9" s="1"/>
  <c r="Q21" i="9"/>
  <c r="S21" i="9" s="1"/>
  <c r="Q22" i="9"/>
  <c r="S22" i="9" s="1"/>
  <c r="Q23" i="9"/>
  <c r="S23" i="9" s="1"/>
  <c r="Q25" i="9"/>
  <c r="R25" i="9" s="1"/>
  <c r="Q26" i="9"/>
  <c r="S26" i="9" s="1"/>
  <c r="Q27" i="9"/>
  <c r="S27" i="9" s="1"/>
  <c r="Q28" i="9"/>
  <c r="R28" i="9" s="1"/>
  <c r="Q30" i="9"/>
  <c r="S30" i="9" s="1"/>
  <c r="Q31" i="9"/>
  <c r="S31" i="9" s="1"/>
  <c r="Q32" i="9"/>
  <c r="S32" i="9" s="1"/>
  <c r="Q33" i="9"/>
  <c r="R33" i="9" s="1"/>
  <c r="Q34" i="9"/>
  <c r="S34" i="9" s="1"/>
  <c r="Q35" i="9"/>
  <c r="R35" i="9" s="1"/>
  <c r="Q36" i="9"/>
  <c r="S36" i="9" s="1"/>
  <c r="Q37" i="9"/>
  <c r="R37" i="9" s="1"/>
  <c r="Q38" i="9"/>
  <c r="S38" i="9" s="1"/>
  <c r="Q40" i="9"/>
  <c r="S40" i="9" s="1"/>
  <c r="Q41" i="9"/>
  <c r="R41" i="9" s="1"/>
  <c r="Q43" i="9"/>
  <c r="S43" i="9" s="1"/>
  <c r="Q44" i="9"/>
  <c r="S44" i="9" s="1"/>
  <c r="Q45" i="9"/>
  <c r="R45" i="9" s="1"/>
  <c r="Q46" i="9"/>
  <c r="R46" i="9" s="1"/>
  <c r="Q47" i="9"/>
  <c r="S47" i="9" s="1"/>
  <c r="Q49" i="9"/>
  <c r="S49" i="9" s="1"/>
  <c r="Q53" i="9"/>
  <c r="S53" i="9" s="1"/>
  <c r="Q55" i="9"/>
  <c r="R55" i="9" s="1"/>
  <c r="Q56" i="9"/>
  <c r="R56" i="9" s="1"/>
  <c r="Q57" i="9"/>
  <c r="S57" i="9" s="1"/>
  <c r="Q58" i="9"/>
  <c r="S58" i="9" s="1"/>
  <c r="Q59" i="9"/>
  <c r="R59" i="9" s="1"/>
  <c r="Q60" i="9"/>
  <c r="S60" i="9" s="1"/>
  <c r="Q61" i="9"/>
  <c r="R61" i="9" s="1"/>
  <c r="Q62" i="9"/>
  <c r="S62" i="9" s="1"/>
  <c r="Q63" i="9"/>
  <c r="R63" i="9" s="1"/>
  <c r="Q64" i="9"/>
  <c r="S64" i="9" s="1"/>
  <c r="S65" i="9"/>
  <c r="Q69" i="9"/>
  <c r="Q70" i="9"/>
  <c r="S70" i="9" s="1"/>
  <c r="Q71" i="9"/>
  <c r="S71" i="9" s="1"/>
  <c r="Q72" i="9"/>
  <c r="S72" i="9" s="1"/>
  <c r="Q73" i="9"/>
  <c r="Q74" i="9"/>
  <c r="S74" i="9" s="1"/>
  <c r="Q75" i="9"/>
  <c r="S75" i="9" s="1"/>
  <c r="Q76" i="9"/>
  <c r="S76" i="9" s="1"/>
  <c r="Q77" i="9"/>
  <c r="S77" i="9" s="1"/>
  <c r="Q78" i="9"/>
  <c r="S78" i="9" s="1"/>
  <c r="Q79" i="9"/>
  <c r="Q80" i="9"/>
  <c r="R80" i="9" s="1"/>
  <c r="Q81" i="9"/>
  <c r="S81" i="9" s="1"/>
  <c r="Q82" i="9"/>
  <c r="Q83" i="9"/>
  <c r="S83" i="9" s="1"/>
  <c r="Q84" i="9"/>
  <c r="S84" i="9" s="1"/>
  <c r="Q85" i="9"/>
  <c r="R85" i="9" s="1"/>
  <c r="Q86" i="9"/>
  <c r="R86" i="9" s="1"/>
  <c r="Q87" i="9"/>
  <c r="S87" i="9" s="1"/>
  <c r="Q88" i="9"/>
  <c r="S88" i="9" s="1"/>
  <c r="Q90" i="9"/>
  <c r="Q91" i="9"/>
  <c r="S91" i="9" s="1"/>
  <c r="Q92" i="9"/>
  <c r="R92" i="9" s="1"/>
  <c r="Q93" i="9"/>
  <c r="S93" i="9" s="1"/>
  <c r="Q94" i="9"/>
  <c r="S94" i="9" s="1"/>
  <c r="Q95" i="9"/>
  <c r="R95" i="9" s="1"/>
  <c r="Q96" i="9"/>
  <c r="S96" i="9" s="1"/>
  <c r="Q97" i="9"/>
  <c r="R97" i="9" s="1"/>
  <c r="Q98" i="9"/>
  <c r="S98" i="9" s="1"/>
  <c r="Q99" i="9"/>
  <c r="R99" i="9" s="1"/>
  <c r="Q100" i="9"/>
  <c r="S100" i="9" s="1"/>
  <c r="Q101" i="9"/>
  <c r="S101" i="9" s="1"/>
  <c r="Q102" i="9"/>
  <c r="S102" i="9" s="1"/>
  <c r="Q103" i="9"/>
  <c r="R103" i="9" s="1"/>
  <c r="Q104" i="9"/>
  <c r="R104" i="9" s="1"/>
  <c r="Q105" i="9"/>
  <c r="S105" i="9" s="1"/>
  <c r="Q107" i="9"/>
  <c r="S107" i="9" s="1"/>
  <c r="Q109" i="9"/>
  <c r="S109" i="9" s="1"/>
  <c r="Q110" i="9"/>
  <c r="S110" i="9" s="1"/>
  <c r="Q111" i="9"/>
  <c r="S111" i="9" s="1"/>
  <c r="Q112" i="9"/>
  <c r="S112" i="9" s="1"/>
  <c r="Q113" i="9"/>
  <c r="R113" i="9" s="1"/>
  <c r="Q114" i="9"/>
  <c r="R114" i="9" s="1"/>
  <c r="Q115" i="9"/>
  <c r="R115" i="9" s="1"/>
  <c r="Q116" i="9"/>
  <c r="R116" i="9" s="1"/>
  <c r="S116" i="9"/>
  <c r="Q117" i="9"/>
  <c r="S117" i="9" s="1"/>
  <c r="Q118" i="9"/>
  <c r="S118" i="9" s="1"/>
  <c r="Q119" i="9"/>
  <c r="S119" i="9" s="1"/>
  <c r="Q120" i="9"/>
  <c r="R120" i="9" s="1"/>
  <c r="Q121" i="9"/>
  <c r="R121" i="9" s="1"/>
  <c r="Q122" i="9"/>
  <c r="S122" i="9" s="1"/>
  <c r="Q123" i="9"/>
  <c r="Q124" i="9"/>
  <c r="S124" i="9" s="1"/>
  <c r="Q125" i="9"/>
  <c r="R125" i="9" s="1"/>
  <c r="Q126" i="9"/>
  <c r="S126" i="9" s="1"/>
  <c r="Q127" i="9"/>
  <c r="S127" i="9" s="1"/>
  <c r="Q128" i="9"/>
  <c r="S128" i="9" s="1"/>
  <c r="Q129" i="9"/>
  <c r="S129" i="9" s="1"/>
  <c r="Q130" i="9"/>
  <c r="S130" i="9" s="1"/>
  <c r="Q131" i="9"/>
  <c r="R131" i="9" s="1"/>
  <c r="Q132" i="9"/>
  <c r="R132" i="9" s="1"/>
  <c r="Q133" i="9"/>
  <c r="S133" i="9" s="1"/>
  <c r="Q134" i="9"/>
  <c r="R134" i="9" s="1"/>
  <c r="Q135" i="9"/>
  <c r="S135" i="9" s="1"/>
  <c r="Q136" i="9"/>
  <c r="S136" i="9" s="1"/>
  <c r="Q137" i="9"/>
  <c r="S137" i="9" s="1"/>
  <c r="Q138" i="9"/>
  <c r="S138" i="9" s="1"/>
  <c r="Q139" i="9"/>
  <c r="S139" i="9" s="1"/>
  <c r="Q140" i="9"/>
  <c r="S140" i="9" s="1"/>
  <c r="Q141" i="9"/>
  <c r="S141" i="9" s="1"/>
  <c r="Q142" i="9"/>
  <c r="R142" i="9" s="1"/>
  <c r="S149" i="9"/>
  <c r="Q150" i="9"/>
  <c r="R150" i="9" s="1"/>
  <c r="Q151" i="9"/>
  <c r="S151" i="9" s="1"/>
  <c r="Q152" i="9"/>
  <c r="R152" i="9" s="1"/>
  <c r="Q154" i="9"/>
  <c r="S154" i="9" s="1"/>
  <c r="Q155" i="9"/>
  <c r="S155" i="9" s="1"/>
  <c r="Q156" i="9"/>
  <c r="S156" i="9" s="1"/>
  <c r="Q157" i="9"/>
  <c r="S157" i="9" s="1"/>
  <c r="Q158" i="9"/>
  <c r="S158" i="9" s="1"/>
  <c r="Q159" i="9"/>
  <c r="R159" i="9" s="1"/>
  <c r="Q160" i="9"/>
  <c r="R160" i="9" s="1"/>
  <c r="Q161" i="9"/>
  <c r="S161" i="9" s="1"/>
  <c r="Q162" i="9"/>
  <c r="S162" i="9" s="1"/>
  <c r="Q163" i="9"/>
  <c r="S163" i="9" s="1"/>
  <c r="Q164" i="9"/>
  <c r="S164" i="9" s="1"/>
  <c r="Q165" i="9"/>
  <c r="Q166" i="9"/>
  <c r="S166" i="9" s="1"/>
  <c r="Q167" i="9"/>
  <c r="S167" i="9" s="1"/>
  <c r="Q168" i="9"/>
  <c r="S168" i="9" s="1"/>
  <c r="Q169" i="9"/>
  <c r="S169" i="9" s="1"/>
  <c r="Q170" i="9"/>
  <c r="R170" i="9" s="1"/>
  <c r="Q171" i="9"/>
  <c r="S171" i="9" s="1"/>
  <c r="Q172" i="9"/>
  <c r="R172" i="9" s="1"/>
  <c r="Q173" i="9"/>
  <c r="S173" i="9" s="1"/>
  <c r="Q174" i="9"/>
  <c r="S174" i="9" s="1"/>
  <c r="Q175" i="9"/>
  <c r="S175" i="9" s="1"/>
  <c r="Q176" i="9"/>
  <c r="R176" i="9" s="1"/>
  <c r="Q177" i="9"/>
  <c r="S177" i="9" s="1"/>
  <c r="Q178" i="9"/>
  <c r="R178" i="9" s="1"/>
  <c r="Q179" i="9"/>
  <c r="S179" i="9" s="1"/>
  <c r="Q180" i="9"/>
  <c r="S180" i="9" s="1"/>
  <c r="Q182" i="9"/>
  <c r="S182" i="9" s="1"/>
  <c r="Q183" i="9"/>
  <c r="S183" i="9" s="1"/>
  <c r="Q184" i="9"/>
  <c r="R184" i="9" s="1"/>
  <c r="Q185" i="9"/>
  <c r="Q186" i="9"/>
  <c r="S186" i="9" s="1"/>
  <c r="Q187" i="9"/>
  <c r="R187" i="9" s="1"/>
  <c r="Q188" i="9"/>
  <c r="S188" i="9" s="1"/>
  <c r="Q189" i="9"/>
  <c r="S189" i="9" s="1"/>
  <c r="Q191" i="9"/>
  <c r="R191" i="9" s="1"/>
  <c r="Q192" i="9"/>
  <c r="R192" i="9" s="1"/>
  <c r="Q193" i="9"/>
  <c r="R193" i="9" s="1"/>
  <c r="Q194" i="9"/>
  <c r="S194" i="9" s="1"/>
  <c r="Q195" i="9"/>
  <c r="Q197" i="9"/>
  <c r="R197" i="9" s="1"/>
  <c r="Q198" i="9"/>
  <c r="S198" i="9" s="1"/>
  <c r="Q199" i="9"/>
  <c r="S199" i="9" s="1"/>
  <c r="Q200" i="9"/>
  <c r="S200" i="9" s="1"/>
  <c r="Q201" i="9"/>
  <c r="S201" i="9" s="1"/>
  <c r="Q203" i="9"/>
  <c r="R203" i="9" s="1"/>
  <c r="Q204" i="9"/>
  <c r="R204" i="9" s="1"/>
  <c r="Q205" i="9"/>
  <c r="S205" i="9" s="1"/>
  <c r="Q206" i="9"/>
  <c r="S206" i="9" s="1"/>
  <c r="Q207" i="9"/>
  <c r="R207" i="9" s="1"/>
  <c r="Q208" i="9"/>
  <c r="R208" i="9" s="1"/>
  <c r="Q209" i="9"/>
  <c r="S209" i="9" s="1"/>
  <c r="Q210" i="9"/>
  <c r="R210" i="9" s="1"/>
  <c r="Q211" i="9"/>
  <c r="Q212" i="9"/>
  <c r="S212" i="9" s="1"/>
  <c r="Q213" i="9"/>
  <c r="R213" i="9" s="1"/>
  <c r="Q214" i="9"/>
  <c r="R214" i="9" s="1"/>
  <c r="Q215" i="9"/>
  <c r="S215" i="9" s="1"/>
  <c r="Q216" i="9"/>
  <c r="R216" i="9" s="1"/>
  <c r="Q223" i="9"/>
  <c r="S223" i="9" s="1"/>
  <c r="Q224" i="9"/>
  <c r="Q225" i="9"/>
  <c r="Q229" i="9"/>
  <c r="S229" i="9" s="1"/>
  <c r="Q230" i="9"/>
  <c r="R230" i="9" s="1"/>
  <c r="Q234" i="9"/>
  <c r="S234" i="9" s="1"/>
  <c r="Q235" i="9"/>
  <c r="S235" i="9" s="1"/>
  <c r="Q236" i="9"/>
  <c r="S236" i="9" s="1"/>
  <c r="Q237" i="9"/>
  <c r="S237" i="9" s="1"/>
  <c r="Q238" i="9"/>
  <c r="R238" i="9" s="1"/>
  <c r="Q239" i="9"/>
  <c r="S239" i="9" s="1"/>
  <c r="Q241" i="9"/>
  <c r="S241" i="9" s="1"/>
  <c r="Q242" i="9"/>
  <c r="R242" i="9" s="1"/>
  <c r="Q243" i="9"/>
  <c r="Q245" i="9"/>
  <c r="S245" i="9" s="1"/>
  <c r="Q246" i="9"/>
  <c r="S246" i="9" s="1"/>
  <c r="Q247" i="9"/>
  <c r="S247" i="9" s="1"/>
  <c r="Q249" i="9"/>
  <c r="R249" i="9" s="1"/>
  <c r="Q250" i="9"/>
  <c r="S250" i="9" s="1"/>
  <c r="Q251" i="9"/>
  <c r="S251" i="9" s="1"/>
  <c r="Q252" i="9"/>
  <c r="S252" i="9" s="1"/>
  <c r="Q253" i="9"/>
  <c r="R253" i="9" s="1"/>
  <c r="Q255" i="9"/>
  <c r="Q256" i="9"/>
  <c r="R256" i="9" s="1"/>
  <c r="Q257" i="9"/>
  <c r="S257" i="9" s="1"/>
  <c r="Q258" i="9"/>
  <c r="S258" i="9" s="1"/>
  <c r="Q259" i="9"/>
  <c r="S259" i="9" s="1"/>
  <c r="Q260" i="9"/>
  <c r="R260" i="9" s="1"/>
  <c r="Q262" i="9"/>
  <c r="R262" i="9" s="1"/>
  <c r="Q263" i="9"/>
  <c r="S263" i="9" s="1"/>
  <c r="Q264" i="9"/>
  <c r="R264" i="9" s="1"/>
  <c r="Q270" i="9"/>
  <c r="S270" i="9" s="1"/>
  <c r="Q271" i="9"/>
  <c r="S271" i="9" s="1"/>
  <c r="Q272" i="9"/>
  <c r="S272" i="9" s="1"/>
  <c r="Q273" i="9"/>
  <c r="R273" i="9" s="1"/>
  <c r="Q274" i="9"/>
  <c r="R274" i="9" s="1"/>
  <c r="Q275" i="9"/>
  <c r="S275" i="9" s="1"/>
  <c r="Q276" i="9"/>
  <c r="S276" i="9" s="1"/>
  <c r="Q277" i="9"/>
  <c r="S277" i="9" s="1"/>
  <c r="Q278" i="9"/>
  <c r="R278" i="9" s="1"/>
  <c r="Q279" i="9"/>
  <c r="S279" i="9" s="1"/>
  <c r="Q282" i="9"/>
  <c r="S282" i="9" s="1"/>
  <c r="Q283" i="9"/>
  <c r="S283" i="9" s="1"/>
  <c r="Q285" i="9"/>
  <c r="S285" i="9" s="1"/>
  <c r="Q286" i="9"/>
  <c r="Q287" i="9"/>
  <c r="R287" i="9" s="1"/>
  <c r="Q291" i="9"/>
  <c r="S291" i="9" s="1"/>
  <c r="Q292" i="9"/>
  <c r="S292" i="9" s="1"/>
  <c r="Q293" i="9"/>
  <c r="S293" i="9" s="1"/>
  <c r="Q294" i="9"/>
  <c r="R294" i="9" s="1"/>
  <c r="Q295" i="9"/>
  <c r="S295" i="9" s="1"/>
  <c r="Q296" i="9"/>
  <c r="S296" i="9" s="1"/>
  <c r="Q297" i="9"/>
  <c r="S297" i="9" s="1"/>
  <c r="Q298" i="9"/>
  <c r="R298" i="9" s="1"/>
  <c r="Q299" i="9"/>
  <c r="S299" i="9" s="1"/>
  <c r="Q300" i="9"/>
  <c r="S300" i="9" s="1"/>
  <c r="Q301" i="9"/>
  <c r="R301" i="9" s="1"/>
  <c r="S301" i="9"/>
  <c r="Q302" i="9"/>
  <c r="S302" i="9" s="1"/>
  <c r="Q303" i="9"/>
  <c r="R303" i="9" s="1"/>
  <c r="Q304" i="9"/>
  <c r="S304" i="9" s="1"/>
  <c r="Q305" i="9"/>
  <c r="S305" i="9" s="1"/>
  <c r="Q306" i="9"/>
  <c r="S306" i="9" s="1"/>
  <c r="Q307" i="9"/>
  <c r="S307" i="9" s="1"/>
  <c r="Q308" i="9"/>
  <c r="R308" i="9" s="1"/>
  <c r="Q309" i="9"/>
  <c r="S309" i="9" s="1"/>
  <c r="Q310" i="9"/>
  <c r="R310" i="9" s="1"/>
  <c r="Q311" i="9"/>
  <c r="S311" i="9" s="1"/>
  <c r="Q312" i="9"/>
  <c r="S312" i="9" s="1"/>
  <c r="Q313" i="9"/>
  <c r="S313" i="9" s="1"/>
  <c r="Q314" i="9"/>
  <c r="S314" i="9" s="1"/>
  <c r="Q315" i="9"/>
  <c r="S315" i="9" s="1"/>
  <c r="Q316" i="9"/>
  <c r="S316" i="9" s="1"/>
  <c r="Q317" i="9"/>
  <c r="R317" i="9" s="1"/>
  <c r="Q318" i="9"/>
  <c r="Q319" i="9"/>
  <c r="S319" i="9" s="1"/>
  <c r="Q320" i="9"/>
  <c r="S320" i="9" s="1"/>
  <c r="Q321" i="9"/>
  <c r="R321" i="9" s="1"/>
  <c r="Q322" i="9"/>
  <c r="R322" i="9" s="1"/>
  <c r="S322" i="9"/>
  <c r="Q323" i="9"/>
  <c r="Q324" i="9"/>
  <c r="R324" i="9" s="1"/>
  <c r="Q325" i="9"/>
  <c r="S325" i="9" s="1"/>
  <c r="Q326" i="9"/>
  <c r="S326" i="9" s="1"/>
  <c r="Q327" i="9"/>
  <c r="R327" i="9" s="1"/>
  <c r="Q328" i="9"/>
  <c r="Q329" i="9"/>
  <c r="S329" i="9" s="1"/>
  <c r="Q330" i="9"/>
  <c r="S330" i="9" s="1"/>
  <c r="Q331" i="9"/>
  <c r="S331" i="9" s="1"/>
  <c r="Q335" i="9"/>
  <c r="S335" i="9" s="1"/>
  <c r="Q337" i="9"/>
  <c r="S337" i="9" s="1"/>
  <c r="Q338" i="9"/>
  <c r="S338" i="9" s="1"/>
  <c r="Q339" i="9"/>
  <c r="S339" i="9" s="1"/>
  <c r="Q340" i="9"/>
  <c r="S340" i="9" s="1"/>
  <c r="Q341" i="9"/>
  <c r="S341" i="9" s="1"/>
  <c r="Q342" i="9"/>
  <c r="S342" i="9" s="1"/>
  <c r="Q343" i="9"/>
  <c r="S343" i="9" s="1"/>
  <c r="Q344" i="9"/>
  <c r="R344" i="9" s="1"/>
  <c r="Q345" i="9"/>
  <c r="S345" i="9" s="1"/>
  <c r="Q346" i="9"/>
  <c r="R346" i="9" s="1"/>
  <c r="Q347" i="9"/>
  <c r="S347" i="9" s="1"/>
  <c r="Q349" i="9"/>
  <c r="R349" i="9" s="1"/>
  <c r="Q350" i="9"/>
  <c r="S350" i="9" s="1"/>
  <c r="Q351" i="9"/>
  <c r="S351" i="9" s="1"/>
  <c r="Q352" i="9"/>
  <c r="S352" i="9" s="1"/>
  <c r="Q353" i="9"/>
  <c r="S353" i="9" s="1"/>
  <c r="Q354" i="9"/>
  <c r="S354" i="9" s="1"/>
  <c r="Q355" i="9"/>
  <c r="R355" i="9" s="1"/>
  <c r="Q356" i="9"/>
  <c r="S356" i="9" s="1"/>
  <c r="Q357" i="9"/>
  <c r="S357" i="9" s="1"/>
  <c r="Q358" i="9"/>
  <c r="S358" i="9" s="1"/>
  <c r="Q359" i="9"/>
  <c r="S359" i="9" s="1"/>
  <c r="Q360" i="9"/>
  <c r="S360" i="9" s="1"/>
  <c r="Q361" i="9"/>
  <c r="S361" i="9" s="1"/>
  <c r="Q362" i="9"/>
  <c r="S362" i="9" s="1"/>
  <c r="Q363" i="9"/>
  <c r="R363" i="9" s="1"/>
  <c r="Q364" i="9"/>
  <c r="S364" i="9" s="1"/>
  <c r="Q365" i="9"/>
  <c r="S365" i="9" s="1"/>
  <c r="Q366" i="9"/>
  <c r="S366" i="9" s="1"/>
  <c r="Q367" i="9"/>
  <c r="R367" i="9" s="1"/>
  <c r="S368" i="9"/>
  <c r="Q369" i="9"/>
  <c r="Q370" i="9"/>
  <c r="S370" i="9" s="1"/>
  <c r="Q371" i="9"/>
  <c r="S371" i="9" s="1"/>
  <c r="Q372" i="9"/>
  <c r="R372" i="9" s="1"/>
  <c r="Q373" i="9"/>
  <c r="S373" i="9" s="1"/>
  <c r="Q374" i="9"/>
  <c r="S374" i="9" s="1"/>
  <c r="Q375" i="9"/>
  <c r="S375" i="9" s="1"/>
  <c r="Q376" i="9"/>
  <c r="R376" i="9" s="1"/>
  <c r="Q377" i="9"/>
  <c r="S377" i="9" s="1"/>
  <c r="Q378" i="9"/>
  <c r="R378" i="9" s="1"/>
  <c r="Q379" i="9"/>
  <c r="S379" i="9" s="1"/>
  <c r="Q380" i="9"/>
  <c r="R380" i="9" s="1"/>
  <c r="Q381" i="9"/>
  <c r="S381" i="9" s="1"/>
  <c r="Q382" i="9"/>
  <c r="S382" i="9" s="1"/>
  <c r="Q383" i="9"/>
  <c r="S383" i="9" s="1"/>
  <c r="Q392" i="9"/>
  <c r="S392" i="9" s="1"/>
  <c r="Q399" i="9"/>
  <c r="S399" i="9" s="1"/>
  <c r="Q400" i="9"/>
  <c r="R400" i="9" s="1"/>
  <c r="Q401" i="9"/>
  <c r="S401" i="9" s="1"/>
  <c r="Q402" i="9"/>
  <c r="R402" i="9" s="1"/>
  <c r="Q403" i="9"/>
  <c r="S403" i="9" s="1"/>
  <c r="Q404" i="9"/>
  <c r="R404" i="9" s="1"/>
  <c r="Q405" i="9"/>
  <c r="S405" i="9" s="1"/>
  <c r="Q406" i="9"/>
  <c r="S406" i="9" s="1"/>
  <c r="Q418" i="9"/>
  <c r="S418" i="9" s="1"/>
  <c r="Q419" i="9"/>
  <c r="S419" i="9" s="1"/>
  <c r="Q420" i="9"/>
  <c r="S420" i="9" s="1"/>
  <c r="Q421" i="9"/>
  <c r="S421" i="9" s="1"/>
  <c r="Q422" i="9"/>
  <c r="S422" i="9" s="1"/>
  <c r="Q423" i="9"/>
  <c r="S423" i="9" s="1"/>
  <c r="Q424" i="9"/>
  <c r="S424" i="9" s="1"/>
  <c r="Q427" i="9"/>
  <c r="S427" i="9" s="1"/>
  <c r="Q428" i="9"/>
  <c r="S428" i="9" s="1"/>
  <c r="Q429" i="9"/>
  <c r="R429" i="9" s="1"/>
  <c r="Q430" i="9"/>
  <c r="S430" i="9" s="1"/>
  <c r="Q431" i="9"/>
  <c r="S431" i="9" s="1"/>
  <c r="Q432" i="9"/>
  <c r="S432" i="9" s="1"/>
  <c r="Q433" i="9"/>
  <c r="R433" i="9" s="1"/>
  <c r="Q434" i="9"/>
  <c r="S434" i="9" s="1"/>
  <c r="Q435" i="9"/>
  <c r="R435" i="9" s="1"/>
  <c r="Q437" i="9"/>
  <c r="S437" i="9" s="1"/>
  <c r="Q438" i="9"/>
  <c r="R438" i="9" s="1"/>
  <c r="Q439" i="9"/>
  <c r="S439" i="9" s="1"/>
  <c r="Q440" i="9"/>
  <c r="S440" i="9" s="1"/>
  <c r="Q441" i="9"/>
  <c r="S441" i="9" s="1"/>
  <c r="Q442" i="9"/>
  <c r="R442" i="9" s="1"/>
  <c r="Q446" i="9"/>
  <c r="Q447" i="9"/>
  <c r="S447" i="9" s="1"/>
  <c r="Q448" i="9"/>
  <c r="Q449" i="9"/>
  <c r="S449" i="9" s="1"/>
  <c r="Q450" i="9"/>
  <c r="Q451" i="9"/>
  <c r="S451" i="9" s="1"/>
  <c r="Q452" i="9"/>
  <c r="S452" i="9" s="1"/>
  <c r="Q453" i="9"/>
  <c r="R453" i="9" s="1"/>
  <c r="Q454" i="9"/>
  <c r="S454" i="9" s="1"/>
  <c r="Q455" i="9"/>
  <c r="R455" i="9" s="1"/>
  <c r="Q456" i="9"/>
  <c r="Q457" i="9"/>
  <c r="R457" i="9" s="1"/>
  <c r="Q458" i="9"/>
  <c r="S458" i="9" s="1"/>
  <c r="Q459" i="9"/>
  <c r="R459" i="9" s="1"/>
  <c r="Q460" i="9"/>
  <c r="S460" i="9" s="1"/>
  <c r="Q461" i="9"/>
  <c r="R461" i="9" s="1"/>
  <c r="Q462" i="9"/>
  <c r="S462" i="9" s="1"/>
  <c r="Q463" i="9"/>
  <c r="Q464" i="9"/>
  <c r="S464" i="9" s="1"/>
  <c r="Q465" i="9"/>
  <c r="R465" i="9" s="1"/>
  <c r="Q466" i="9"/>
  <c r="S466" i="9" s="1"/>
  <c r="Q467" i="9"/>
  <c r="R467" i="9" s="1"/>
  <c r="Q468" i="9"/>
  <c r="S468" i="9" s="1"/>
  <c r="Q469" i="9"/>
  <c r="R469" i="9" s="1"/>
  <c r="Q470" i="9"/>
  <c r="Q471" i="9"/>
  <c r="R471" i="9" s="1"/>
  <c r="Q472" i="9"/>
  <c r="S472" i="9" s="1"/>
  <c r="Q473" i="9"/>
  <c r="S473" i="9" s="1"/>
  <c r="Q474" i="9"/>
  <c r="S474" i="9" s="1"/>
  <c r="Q475" i="9"/>
  <c r="R475" i="9" s="1"/>
  <c r="Q476" i="9"/>
  <c r="S476" i="9" s="1"/>
  <c r="Q477" i="9"/>
  <c r="R477" i="9" s="1"/>
  <c r="Q478" i="9"/>
  <c r="S478" i="9" s="1"/>
  <c r="Q479" i="9"/>
  <c r="Q480" i="9"/>
  <c r="S480" i="9" s="1"/>
  <c r="Q481" i="9"/>
  <c r="R481" i="9" s="1"/>
  <c r="Q482" i="9"/>
  <c r="S482" i="9" s="1"/>
  <c r="Q483" i="9"/>
  <c r="R483" i="9" s="1"/>
  <c r="Q484" i="9"/>
  <c r="S484" i="9" s="1"/>
  <c r="Q485" i="9"/>
  <c r="S485" i="9" s="1"/>
  <c r="Q486" i="9"/>
  <c r="S486" i="9" s="1"/>
  <c r="Q487" i="9"/>
  <c r="R487" i="9" s="1"/>
  <c r="Q489" i="9"/>
  <c r="S489" i="9" s="1"/>
  <c r="Q490" i="9"/>
  <c r="R490" i="9" s="1"/>
  <c r="Q492" i="9"/>
  <c r="R492" i="9" s="1"/>
  <c r="Q493" i="9"/>
  <c r="R493" i="9" s="1"/>
  <c r="Q495" i="9"/>
  <c r="S495" i="9" s="1"/>
  <c r="Q496" i="9"/>
  <c r="S496" i="9" s="1"/>
  <c r="Q500" i="9"/>
  <c r="S500" i="9" s="1"/>
  <c r="Q501" i="9"/>
  <c r="S501" i="9" s="1"/>
  <c r="Q502" i="9"/>
  <c r="R502" i="9" s="1"/>
  <c r="Q503" i="9"/>
  <c r="S503" i="9" s="1"/>
  <c r="Q504" i="9"/>
  <c r="S504" i="9" s="1"/>
  <c r="Q505" i="9"/>
  <c r="S505" i="9" s="1"/>
  <c r="Q506" i="9"/>
  <c r="S506" i="9" s="1"/>
  <c r="Q508" i="9"/>
  <c r="R508" i="9" s="1"/>
  <c r="Q510" i="9"/>
  <c r="R510" i="9" s="1"/>
  <c r="Q512" i="9"/>
  <c r="Q513" i="9"/>
  <c r="R513" i="9" s="1"/>
  <c r="Q514" i="9"/>
  <c r="S514" i="9" s="1"/>
  <c r="Q515" i="9"/>
  <c r="R515" i="9" s="1"/>
  <c r="Q517" i="9"/>
  <c r="R517" i="9" s="1"/>
  <c r="Q518" i="9"/>
  <c r="R518" i="9" s="1"/>
  <c r="Q519" i="9"/>
  <c r="R519" i="9" s="1"/>
  <c r="Q520" i="9"/>
  <c r="R520" i="9" s="1"/>
  <c r="Q521" i="9"/>
  <c r="S521" i="9" s="1"/>
  <c r="Q522" i="9"/>
  <c r="S522" i="9" s="1"/>
  <c r="Q523" i="9"/>
  <c r="R523" i="9" s="1"/>
  <c r="Q525" i="9"/>
  <c r="R525" i="9" s="1"/>
  <c r="Q529" i="9"/>
  <c r="Q530" i="9"/>
  <c r="R530" i="9" s="1"/>
  <c r="Q531" i="9"/>
  <c r="S531" i="9" s="1"/>
  <c r="Q532" i="9"/>
  <c r="S532" i="9" s="1"/>
  <c r="Q535" i="9"/>
  <c r="R535" i="9" s="1"/>
  <c r="Q536" i="9"/>
  <c r="S536" i="9" s="1"/>
  <c r="Q537" i="9"/>
  <c r="S537" i="9" s="1"/>
  <c r="Q538" i="9"/>
  <c r="S538" i="9" s="1"/>
  <c r="Q539" i="9"/>
  <c r="R539" i="9" s="1"/>
  <c r="Q540" i="9"/>
  <c r="S540" i="9" s="1"/>
  <c r="Q541" i="9"/>
  <c r="S541" i="9" s="1"/>
  <c r="Q542" i="9"/>
  <c r="S542" i="9" s="1"/>
  <c r="Q543" i="9"/>
  <c r="R543" i="9" s="1"/>
  <c r="Q544" i="9"/>
  <c r="S544" i="9" s="1"/>
  <c r="Q545" i="9"/>
  <c r="R545" i="9" s="1"/>
  <c r="Q546" i="9"/>
  <c r="S546" i="9" s="1"/>
  <c r="Q547" i="9"/>
  <c r="S547" i="9" s="1"/>
  <c r="Q548" i="9"/>
  <c r="S548" i="9" s="1"/>
  <c r="Q549" i="9"/>
  <c r="R549" i="9" s="1"/>
  <c r="Q550" i="9"/>
  <c r="S550" i="9" s="1"/>
  <c r="Q551" i="9"/>
  <c r="R551" i="9" s="1"/>
  <c r="Q552" i="9"/>
  <c r="S552" i="9" s="1"/>
  <c r="Q13" i="8"/>
  <c r="R13" i="8" s="1"/>
  <c r="Q15" i="8"/>
  <c r="S15" i="8" s="1"/>
  <c r="Q16" i="8"/>
  <c r="S16" i="8" s="1"/>
  <c r="Q20" i="8"/>
  <c r="R20" i="8" s="1"/>
  <c r="Q21" i="8"/>
  <c r="R21" i="8" s="1"/>
  <c r="S21" i="8"/>
  <c r="Q22" i="8"/>
  <c r="S22" i="8" s="1"/>
  <c r="Q23" i="8"/>
  <c r="S23" i="8" s="1"/>
  <c r="Q31" i="8"/>
  <c r="S31" i="8" s="1"/>
  <c r="Q32" i="8"/>
  <c r="R32" i="8" s="1"/>
  <c r="Q33" i="8"/>
  <c r="R33" i="8" s="1"/>
  <c r="Q34" i="8"/>
  <c r="S34" i="8" s="1"/>
  <c r="Q35" i="8"/>
  <c r="R35" i="8" s="1"/>
  <c r="S35" i="8"/>
  <c r="Q36" i="8"/>
  <c r="R36" i="8" s="1"/>
  <c r="Q37" i="8"/>
  <c r="R37" i="8" s="1"/>
  <c r="Q38" i="8"/>
  <c r="R38" i="8" s="1"/>
  <c r="S38" i="8"/>
  <c r="Q39" i="8"/>
  <c r="S39" i="8" s="1"/>
  <c r="Q40" i="8"/>
  <c r="R40" i="8" s="1"/>
  <c r="S40" i="8"/>
  <c r="Q41" i="8"/>
  <c r="S41" i="8" s="1"/>
  <c r="Q42" i="8"/>
  <c r="S42" i="8" s="1"/>
  <c r="Q43" i="8"/>
  <c r="S43" i="8" s="1"/>
  <c r="Q44" i="8"/>
  <c r="R44" i="8" s="1"/>
  <c r="S44" i="8"/>
  <c r="Q45" i="8"/>
  <c r="S45" i="8" s="1"/>
  <c r="Q46" i="8"/>
  <c r="S46" i="8"/>
  <c r="Q47" i="8"/>
  <c r="S47" i="8" s="1"/>
  <c r="Q48" i="8"/>
  <c r="Q49" i="8"/>
  <c r="R49" i="8" s="1"/>
  <c r="S49" i="8"/>
  <c r="Q50" i="8"/>
  <c r="S50" i="8" s="1"/>
  <c r="Q51" i="8"/>
  <c r="R51" i="8" s="1"/>
  <c r="S51" i="8"/>
  <c r="Q52" i="8"/>
  <c r="S52" i="8" s="1"/>
  <c r="Q53" i="8"/>
  <c r="R53" i="8" s="1"/>
  <c r="Q54" i="8"/>
  <c r="S54" i="8" s="1"/>
  <c r="Q55" i="8"/>
  <c r="S55" i="8"/>
  <c r="Q56" i="8"/>
  <c r="R56" i="8" s="1"/>
  <c r="Q57" i="8"/>
  <c r="S57" i="8" s="1"/>
  <c r="Q58" i="8"/>
  <c r="R58" i="8" s="1"/>
  <c r="S58" i="8"/>
  <c r="Q59" i="8"/>
  <c r="S59" i="8" s="1"/>
  <c r="Q60" i="8"/>
  <c r="R60" i="8" s="1"/>
  <c r="S60" i="8"/>
  <c r="Q61" i="8"/>
  <c r="S61" i="8" s="1"/>
  <c r="Q62" i="8"/>
  <c r="R62" i="8" s="1"/>
  <c r="Q64" i="8"/>
  <c r="S64" i="8" s="1"/>
  <c r="Q65" i="8"/>
  <c r="S65" i="8" s="1"/>
  <c r="Q66" i="8"/>
  <c r="S66" i="8" s="1"/>
  <c r="Q67" i="8"/>
  <c r="S67" i="8"/>
  <c r="Q70" i="8"/>
  <c r="S70" i="8" s="1"/>
  <c r="Q71" i="8"/>
  <c r="R71" i="8" s="1"/>
  <c r="Q72" i="8"/>
  <c r="R72" i="8" s="1"/>
  <c r="S72" i="8"/>
  <c r="Q73" i="8"/>
  <c r="S73" i="8" s="1"/>
  <c r="Q74" i="8"/>
  <c r="R74" i="8" s="1"/>
  <c r="S76" i="8"/>
  <c r="S77" i="8"/>
  <c r="Q78" i="8"/>
  <c r="S78" i="8"/>
  <c r="Q79" i="8"/>
  <c r="R79" i="8" s="1"/>
  <c r="Q80" i="8"/>
  <c r="S80" i="8" s="1"/>
  <c r="Q81" i="8"/>
  <c r="R81" i="8" s="1"/>
  <c r="Q82" i="8"/>
  <c r="S82" i="8" s="1"/>
  <c r="Q83" i="8"/>
  <c r="S83" i="8"/>
  <c r="Q84" i="8"/>
  <c r="S84" i="8" s="1"/>
  <c r="S85" i="8"/>
  <c r="Q86" i="8"/>
  <c r="R86" i="8" s="1"/>
  <c r="Q87" i="8"/>
  <c r="R87" i="8" s="1"/>
  <c r="Q88" i="8"/>
  <c r="S88" i="8" s="1"/>
  <c r="Q89" i="8"/>
  <c r="S89" i="8" s="1"/>
  <c r="Q91" i="8"/>
  <c r="R91" i="8" s="1"/>
  <c r="Q92" i="8"/>
  <c r="S92" i="8" s="1"/>
  <c r="Q93" i="8"/>
  <c r="R93" i="8" s="1"/>
  <c r="Q94" i="8"/>
  <c r="S94" i="8" s="1"/>
  <c r="Q95" i="8"/>
  <c r="Q96" i="8"/>
  <c r="S96" i="8" s="1"/>
  <c r="Q97" i="8"/>
  <c r="R97" i="8" s="1"/>
  <c r="S97" i="8"/>
  <c r="Q98" i="8"/>
  <c r="R98" i="8" s="1"/>
  <c r="Q102" i="8"/>
  <c r="S102" i="8" s="1"/>
  <c r="Q103" i="8"/>
  <c r="R103" i="8" s="1"/>
  <c r="S103" i="8"/>
  <c r="Q104" i="8"/>
  <c r="S104" i="8" s="1"/>
  <c r="Q105" i="8"/>
  <c r="S105" i="8"/>
  <c r="Q106" i="8"/>
  <c r="S106" i="8" s="1"/>
  <c r="Q107" i="8"/>
  <c r="S107" i="8" s="1"/>
  <c r="Q108" i="8"/>
  <c r="S108" i="8" s="1"/>
  <c r="Q110" i="8"/>
  <c r="S110" i="8" s="1"/>
  <c r="Q112" i="8"/>
  <c r="S112" i="8" s="1"/>
  <c r="Q113" i="8"/>
  <c r="S113" i="8" s="1"/>
  <c r="Q114" i="8"/>
  <c r="R114" i="8" s="1"/>
  <c r="Q115" i="8"/>
  <c r="S115" i="8" s="1"/>
  <c r="Q116" i="8"/>
  <c r="R116" i="8" s="1"/>
  <c r="Q117" i="8"/>
  <c r="R117" i="8" s="1"/>
  <c r="Q118" i="8"/>
  <c r="S118" i="8" s="1"/>
  <c r="Q119" i="8"/>
  <c r="S119" i="8" s="1"/>
  <c r="Q120" i="8"/>
  <c r="S120" i="8"/>
  <c r="Q121" i="8"/>
  <c r="S121" i="8" s="1"/>
  <c r="Q122" i="8"/>
  <c r="R122" i="8" s="1"/>
  <c r="Q123" i="8"/>
  <c r="S123" i="8"/>
  <c r="Q124" i="8"/>
  <c r="S124" i="8" s="1"/>
  <c r="Q126" i="8"/>
  <c r="S126" i="8" s="1"/>
  <c r="R420" i="2"/>
  <c r="S420" i="2"/>
  <c r="R421" i="2"/>
  <c r="S421" i="2"/>
  <c r="R422" i="2"/>
  <c r="S422" i="2"/>
  <c r="R423" i="2"/>
  <c r="S423" i="2"/>
  <c r="R424" i="2"/>
  <c r="S424" i="2"/>
  <c r="S13" i="8"/>
  <c r="R528" i="9"/>
  <c r="S528" i="9"/>
  <c r="S114" i="8"/>
  <c r="R95" i="8"/>
  <c r="S95" i="8"/>
  <c r="R75" i="8"/>
  <c r="S75" i="8"/>
  <c r="S53" i="8"/>
  <c r="S37" i="8"/>
  <c r="R82" i="8"/>
  <c r="R48" i="8"/>
  <c r="S48" i="8"/>
  <c r="S36" i="8"/>
  <c r="S32" i="8"/>
  <c r="S20" i="8"/>
  <c r="R21" i="7"/>
  <c r="S21" i="7"/>
  <c r="R13" i="7"/>
  <c r="S13" i="7"/>
  <c r="R22" i="7"/>
  <c r="S22" i="7"/>
  <c r="R43" i="7"/>
  <c r="S43" i="7"/>
  <c r="R24" i="7"/>
  <c r="S24" i="7"/>
  <c r="R20" i="7"/>
  <c r="S20" i="7"/>
  <c r="R12" i="7"/>
  <c r="S12" i="7"/>
  <c r="R78" i="8"/>
  <c r="R105" i="8"/>
  <c r="R16" i="8"/>
  <c r="R83" i="8"/>
  <c r="R61" i="8"/>
  <c r="R59" i="8"/>
  <c r="R120" i="8"/>
  <c r="R113" i="8"/>
  <c r="R102" i="8"/>
  <c r="R77" i="8"/>
  <c r="R149" i="9"/>
  <c r="R55" i="8"/>
  <c r="R123" i="8"/>
  <c r="R80" i="8"/>
  <c r="R76" i="8"/>
  <c r="R67" i="8"/>
  <c r="R46" i="8"/>
  <c r="R42" i="8"/>
  <c r="R65" i="9"/>
  <c r="B163" i="11"/>
  <c r="B42" i="11"/>
  <c r="B49" i="11"/>
  <c r="B45" i="11"/>
  <c r="R11" i="7"/>
  <c r="B118" i="11"/>
  <c r="B109" i="11"/>
  <c r="B124" i="11"/>
  <c r="B119" i="11"/>
  <c r="R14" i="7"/>
  <c r="B60" i="11"/>
  <c r="R396" i="4"/>
  <c r="S97" i="4"/>
  <c r="S282" i="4"/>
  <c r="S288" i="4"/>
  <c r="R478" i="4"/>
  <c r="R474" i="4"/>
  <c r="R485" i="4"/>
  <c r="R484" i="4"/>
  <c r="R451" i="4"/>
  <c r="R476" i="4"/>
  <c r="S160" i="4"/>
  <c r="S369" i="4"/>
  <c r="S488" i="4"/>
  <c r="R488" i="4"/>
  <c r="S469" i="4"/>
  <c r="R469" i="4"/>
  <c r="R463" i="4"/>
  <c r="R486" i="4"/>
  <c r="R418" i="4"/>
  <c r="R480" i="4"/>
  <c r="S470" i="4"/>
  <c r="R470" i="4"/>
  <c r="S433" i="4"/>
  <c r="S479" i="4"/>
  <c r="R291" i="4"/>
  <c r="R434" i="4"/>
  <c r="R271" i="4"/>
  <c r="S327" i="4"/>
  <c r="R98" i="4"/>
  <c r="R99" i="4"/>
  <c r="R326" i="4"/>
  <c r="R350" i="4"/>
  <c r="R466" i="4"/>
  <c r="S466" i="4"/>
  <c r="S462" i="4"/>
  <c r="S495" i="4"/>
  <c r="R464" i="4"/>
  <c r="S464" i="4"/>
  <c r="S487" i="4"/>
  <c r="R487" i="4"/>
  <c r="S162" i="4"/>
  <c r="S94" i="4"/>
  <c r="R367" i="4"/>
  <c r="S163" i="4"/>
  <c r="R368" i="4"/>
  <c r="R103" i="4"/>
  <c r="R370" i="4"/>
  <c r="R289" i="4"/>
  <c r="R100" i="4"/>
  <c r="R491" i="5" l="1"/>
  <c r="S22" i="2"/>
  <c r="S353" i="3"/>
  <c r="R36" i="3"/>
  <c r="S53" i="3"/>
  <c r="S68" i="3"/>
  <c r="S74" i="3"/>
  <c r="S190" i="3"/>
  <c r="S219" i="3"/>
  <c r="S244" i="3"/>
  <c r="S246" i="3"/>
  <c r="R37" i="7"/>
  <c r="R67" i="7"/>
  <c r="R467" i="5"/>
  <c r="R117" i="2"/>
  <c r="S337" i="3"/>
  <c r="R78" i="3"/>
  <c r="S35" i="6"/>
  <c r="R50" i="8"/>
  <c r="R88" i="8"/>
  <c r="R126" i="8"/>
  <c r="R85" i="8"/>
  <c r="S74" i="8"/>
  <c r="R115" i="8"/>
  <c r="S87" i="8"/>
  <c r="S116" i="8"/>
  <c r="S62" i="8"/>
  <c r="S33" i="8"/>
  <c r="S256" i="9"/>
  <c r="C142" i="10"/>
  <c r="R34" i="7"/>
  <c r="R55" i="7"/>
  <c r="S73" i="7"/>
  <c r="R25" i="8"/>
  <c r="R90" i="2"/>
  <c r="S113" i="2"/>
  <c r="R356" i="3"/>
  <c r="R33" i="3"/>
  <c r="S351" i="3"/>
  <c r="S15" i="3"/>
  <c r="R84" i="3"/>
  <c r="R156" i="3"/>
  <c r="R203" i="3"/>
  <c r="S261" i="3"/>
  <c r="S16" i="5"/>
  <c r="R47" i="6"/>
  <c r="R28" i="6"/>
  <c r="E142" i="10"/>
  <c r="S19" i="3"/>
  <c r="S255" i="3"/>
  <c r="R38" i="3"/>
  <c r="R120" i="3"/>
  <c r="S27" i="3"/>
  <c r="S45" i="3"/>
  <c r="R170" i="3"/>
  <c r="S231" i="3"/>
  <c r="S247" i="3"/>
  <c r="R181" i="3"/>
  <c r="R232" i="3"/>
  <c r="R23" i="3"/>
  <c r="S42" i="3"/>
  <c r="S211" i="3"/>
  <c r="S217" i="3"/>
  <c r="R237" i="3"/>
  <c r="S252" i="3"/>
  <c r="R243" i="3"/>
  <c r="R250" i="3"/>
  <c r="R122" i="3"/>
  <c r="R208" i="3"/>
  <c r="R17" i="3"/>
  <c r="R81" i="3"/>
  <c r="R262" i="3"/>
  <c r="R158" i="3"/>
  <c r="R28" i="3"/>
  <c r="R18" i="3"/>
  <c r="R132" i="3"/>
  <c r="R49" i="3"/>
  <c r="S114" i="3"/>
  <c r="S173" i="3"/>
  <c r="S196" i="3"/>
  <c r="R214" i="3"/>
  <c r="S28" i="9"/>
  <c r="S376" i="9"/>
  <c r="S303" i="9"/>
  <c r="R257" i="9"/>
  <c r="S467" i="9"/>
  <c r="S287" i="9"/>
  <c r="S481" i="9"/>
  <c r="R96" i="9"/>
  <c r="R505" i="9"/>
  <c r="R13" i="9"/>
  <c r="R21" i="9"/>
  <c r="S108" i="9"/>
  <c r="R267" i="9"/>
  <c r="R472" i="9"/>
  <c r="R503" i="9"/>
  <c r="R229" i="9"/>
  <c r="S415" i="9"/>
  <c r="R212" i="9"/>
  <c r="R555" i="9"/>
  <c r="R374" i="9"/>
  <c r="S308" i="9"/>
  <c r="S150" i="9"/>
  <c r="S475" i="9"/>
  <c r="S461" i="9"/>
  <c r="R414" i="9"/>
  <c r="R111" i="9"/>
  <c r="S349" i="9"/>
  <c r="S363" i="9"/>
  <c r="S214" i="9"/>
  <c r="R338" i="9"/>
  <c r="R360" i="9"/>
  <c r="R143" i="9"/>
  <c r="S519" i="9"/>
  <c r="S493" i="9"/>
  <c r="R57" i="9"/>
  <c r="R485" i="9"/>
  <c r="R247" i="9"/>
  <c r="S197" i="9"/>
  <c r="S35" i="9"/>
  <c r="R186" i="9"/>
  <c r="R536" i="9"/>
  <c r="S539" i="9"/>
  <c r="R47" i="9"/>
  <c r="R331" i="9"/>
  <c r="R495" i="9"/>
  <c r="S321" i="9"/>
  <c r="R91" i="9"/>
  <c r="S61" i="9"/>
  <c r="R411" i="9"/>
  <c r="R140" i="9"/>
  <c r="R245" i="9"/>
  <c r="S80" i="9"/>
  <c r="R124" i="9"/>
  <c r="R418" i="9"/>
  <c r="R129" i="9"/>
  <c r="S520" i="9"/>
  <c r="S551" i="9"/>
  <c r="S438" i="9"/>
  <c r="R341" i="9"/>
  <c r="R72" i="9"/>
  <c r="R302" i="9"/>
  <c r="S191" i="9"/>
  <c r="S455" i="9"/>
  <c r="S400" i="9"/>
  <c r="S264" i="9"/>
  <c r="S249" i="9"/>
  <c r="S178" i="9"/>
  <c r="N207" i="11"/>
  <c r="R157" i="9"/>
  <c r="R399" i="9"/>
  <c r="R550" i="9"/>
  <c r="R118" i="9"/>
  <c r="R365" i="9"/>
  <c r="R137" i="9"/>
  <c r="R361" i="9"/>
  <c r="S483" i="9"/>
  <c r="S477" i="9"/>
  <c r="S457" i="9"/>
  <c r="S317" i="9"/>
  <c r="S278" i="9"/>
  <c r="S238" i="9"/>
  <c r="S216" i="9"/>
  <c r="S210" i="9"/>
  <c r="S187" i="9"/>
  <c r="S120" i="9"/>
  <c r="R416" i="9"/>
  <c r="R177" i="9"/>
  <c r="R12" i="9"/>
  <c r="R174" i="9"/>
  <c r="R421" i="9"/>
  <c r="R167" i="9"/>
  <c r="S502" i="9"/>
  <c r="S433" i="9"/>
  <c r="S378" i="9"/>
  <c r="S310" i="9"/>
  <c r="S230" i="9"/>
  <c r="S172" i="9"/>
  <c r="S103" i="9"/>
  <c r="R389" i="9"/>
  <c r="R62" i="9"/>
  <c r="R237" i="9"/>
  <c r="R81" i="9"/>
  <c r="R215" i="9"/>
  <c r="R156" i="9"/>
  <c r="S55" i="9"/>
  <c r="S134" i="9"/>
  <c r="R419" i="9"/>
  <c r="R194" i="9"/>
  <c r="R94" i="9"/>
  <c r="R22" i="9"/>
  <c r="R70" i="9"/>
  <c r="R235" i="9"/>
  <c r="R133" i="9"/>
  <c r="R77" i="9"/>
  <c r="S86" i="9"/>
  <c r="S184" i="9"/>
  <c r="R234" i="9"/>
  <c r="S453" i="9"/>
  <c r="S435" i="9"/>
  <c r="S380" i="9"/>
  <c r="S273" i="9"/>
  <c r="S262" i="9"/>
  <c r="S41" i="9"/>
  <c r="R396" i="9"/>
  <c r="R147" i="9"/>
  <c r="S348" i="9"/>
  <c r="R488" i="9"/>
  <c r="R117" i="9"/>
  <c r="R105" i="9"/>
  <c r="R379" i="9"/>
  <c r="R532" i="9"/>
  <c r="R501" i="9"/>
  <c r="R381" i="9"/>
  <c r="S37" i="9"/>
  <c r="R283" i="9"/>
  <c r="R506" i="9"/>
  <c r="R68" i="9"/>
  <c r="R382" i="9"/>
  <c r="R251" i="9"/>
  <c r="R311" i="9"/>
  <c r="S160" i="9"/>
  <c r="S494" i="9"/>
  <c r="R76" i="9"/>
  <c r="R263" i="9"/>
  <c r="R330" i="9"/>
  <c r="S63" i="9"/>
  <c r="R168" i="9"/>
  <c r="S508" i="9"/>
  <c r="R282" i="9"/>
  <c r="R462" i="9"/>
  <c r="R58" i="9"/>
  <c r="R27" i="9"/>
  <c r="R285" i="9"/>
  <c r="R541" i="9"/>
  <c r="R83" i="9"/>
  <c r="S99" i="9"/>
  <c r="S56" i="9"/>
  <c r="R306" i="9"/>
  <c r="S152" i="9"/>
  <c r="L175" i="11" s="1"/>
  <c r="M175" i="11" s="1"/>
  <c r="R297" i="9"/>
  <c r="S525" i="9"/>
  <c r="S372" i="9"/>
  <c r="S298" i="9"/>
  <c r="S260" i="9"/>
  <c r="S253" i="9"/>
  <c r="S207" i="9"/>
  <c r="S45" i="9"/>
  <c r="S33" i="9"/>
  <c r="R15" i="9"/>
  <c r="R161" i="9"/>
  <c r="R43" i="9"/>
  <c r="R464" i="9"/>
  <c r="S549" i="9"/>
  <c r="S465" i="9"/>
  <c r="S459" i="9"/>
  <c r="S402" i="9"/>
  <c r="S324" i="9"/>
  <c r="S393" i="9"/>
  <c r="S426" i="9"/>
  <c r="R265" i="9"/>
  <c r="R84" i="9"/>
  <c r="R98" i="9"/>
  <c r="R155" i="9"/>
  <c r="R26" i="9"/>
  <c r="R258" i="9"/>
  <c r="R531" i="9"/>
  <c r="R163" i="9"/>
  <c r="R49" i="9"/>
  <c r="R199" i="9"/>
  <c r="R138" i="9"/>
  <c r="S115" i="9"/>
  <c r="S510" i="9"/>
  <c r="S515" i="9"/>
  <c r="S545" i="9"/>
  <c r="S487" i="9"/>
  <c r="S469" i="9"/>
  <c r="S429" i="9"/>
  <c r="S404" i="9"/>
  <c r="S367" i="9"/>
  <c r="S355" i="9"/>
  <c r="S344" i="9"/>
  <c r="S274" i="9"/>
  <c r="S203" i="9"/>
  <c r="S125" i="9"/>
  <c r="S113" i="9"/>
  <c r="S18" i="9"/>
  <c r="R431" i="9"/>
  <c r="R276" i="9"/>
  <c r="R489" i="9"/>
  <c r="S204" i="9"/>
  <c r="D141" i="10"/>
  <c r="B16" i="11" s="1"/>
  <c r="S409" i="9"/>
  <c r="R34" i="9"/>
  <c r="R205" i="9"/>
  <c r="R71" i="9"/>
  <c r="R514" i="9"/>
  <c r="R38" i="9"/>
  <c r="R162" i="9"/>
  <c r="R127" i="9"/>
  <c r="R423" i="9"/>
  <c r="R326" i="9"/>
  <c r="R109" i="9"/>
  <c r="R141" i="9"/>
  <c r="R522" i="9"/>
  <c r="R347" i="9"/>
  <c r="R166" i="9"/>
  <c r="R154" i="9"/>
  <c r="R64" i="9"/>
  <c r="R292" i="9"/>
  <c r="R440" i="9"/>
  <c r="R451" i="9"/>
  <c r="R182" i="9"/>
  <c r="R340" i="9"/>
  <c r="R437" i="9"/>
  <c r="S104" i="9"/>
  <c r="R53" i="9"/>
  <c r="S530" i="9"/>
  <c r="R390" i="9"/>
  <c r="R556" i="9"/>
  <c r="R408" i="9"/>
  <c r="R106" i="9"/>
  <c r="S491" i="9"/>
  <c r="R189" i="9"/>
  <c r="R350" i="9"/>
  <c r="R78" i="9"/>
  <c r="R20" i="9"/>
  <c r="R30" i="9"/>
  <c r="R538" i="9"/>
  <c r="R357" i="9"/>
  <c r="R180" i="9"/>
  <c r="R270" i="9"/>
  <c r="R441" i="9"/>
  <c r="S193" i="9"/>
  <c r="R496" i="9"/>
  <c r="R371" i="9"/>
  <c r="R93" i="9"/>
  <c r="R246" i="9"/>
  <c r="R23" i="9"/>
  <c r="R447" i="9"/>
  <c r="R171" i="9"/>
  <c r="R74" i="9"/>
  <c r="R486" i="9"/>
  <c r="R521" i="9"/>
  <c r="S59" i="9"/>
  <c r="S159" i="9"/>
  <c r="R130" i="9"/>
  <c r="R201" i="9"/>
  <c r="R547" i="9"/>
  <c r="R500" i="9"/>
  <c r="S346" i="9"/>
  <c r="S170" i="9"/>
  <c r="S142" i="9"/>
  <c r="S384" i="9"/>
  <c r="R533" i="9"/>
  <c r="S397" i="9"/>
  <c r="R146" i="9"/>
  <c r="R534" i="9"/>
  <c r="S225" i="9"/>
  <c r="R225" i="9"/>
  <c r="S195" i="9"/>
  <c r="R195" i="9"/>
  <c r="S82" i="9"/>
  <c r="R82" i="9"/>
  <c r="R315" i="9"/>
  <c r="R359" i="9"/>
  <c r="R537" i="9"/>
  <c r="R362" i="9"/>
  <c r="S95" i="9"/>
  <c r="R449" i="9"/>
  <c r="R504" i="9"/>
  <c r="S450" i="9"/>
  <c r="R450" i="9"/>
  <c r="S369" i="9"/>
  <c r="R369" i="9"/>
  <c r="S328" i="9"/>
  <c r="R328" i="9"/>
  <c r="S224" i="9"/>
  <c r="R224" i="9"/>
  <c r="S69" i="9"/>
  <c r="R69" i="9"/>
  <c r="M172" i="11"/>
  <c r="R128" i="9"/>
  <c r="R296" i="9"/>
  <c r="R135" i="9"/>
  <c r="R271" i="9"/>
  <c r="R351" i="9"/>
  <c r="R427" i="9"/>
  <c r="R313" i="9"/>
  <c r="R540" i="9"/>
  <c r="R353" i="9"/>
  <c r="S535" i="9"/>
  <c r="S512" i="9"/>
  <c r="R512" i="9"/>
  <c r="S471" i="9"/>
  <c r="S327" i="9"/>
  <c r="S294" i="9"/>
  <c r="S192" i="9"/>
  <c r="R123" i="9"/>
  <c r="S123" i="9"/>
  <c r="S85" i="9"/>
  <c r="S79" i="9"/>
  <c r="R79" i="9"/>
  <c r="S333" i="9"/>
  <c r="R333" i="9"/>
  <c r="S559" i="9"/>
  <c r="R559" i="9"/>
  <c r="S67" i="9"/>
  <c r="R67" i="9"/>
  <c r="S318" i="9"/>
  <c r="R318" i="9"/>
  <c r="R31" i="9"/>
  <c r="R342" i="9"/>
  <c r="R236" i="9"/>
  <c r="R370" i="9"/>
  <c r="R473" i="9"/>
  <c r="S176" i="9"/>
  <c r="S490" i="9"/>
  <c r="S470" i="9"/>
  <c r="R470" i="9"/>
  <c r="S448" i="9"/>
  <c r="R448" i="9"/>
  <c r="S211" i="9"/>
  <c r="R211" i="9"/>
  <c r="S185" i="9"/>
  <c r="R185" i="9"/>
  <c r="S73" i="9"/>
  <c r="R73" i="9"/>
  <c r="R107" i="9"/>
  <c r="R198" i="9"/>
  <c r="R279" i="9"/>
  <c r="R312" i="9"/>
  <c r="R383" i="9"/>
  <c r="R88" i="9"/>
  <c r="R392" i="9"/>
  <c r="S517" i="9"/>
  <c r="S492" i="9"/>
  <c r="S323" i="9"/>
  <c r="R323" i="9"/>
  <c r="R444" i="9"/>
  <c r="S444" i="9"/>
  <c r="S529" i="9"/>
  <c r="R529" i="9"/>
  <c r="S456" i="9"/>
  <c r="R456" i="9"/>
  <c r="R101" i="9"/>
  <c r="R139" i="9"/>
  <c r="R19" i="9"/>
  <c r="B181" i="11"/>
  <c r="B194" i="11" s="1"/>
  <c r="R119" i="9"/>
  <c r="R542" i="9"/>
  <c r="R546" i="9"/>
  <c r="R14" i="9"/>
  <c r="R158" i="9"/>
  <c r="S518" i="9"/>
  <c r="R463" i="9"/>
  <c r="S463" i="9"/>
  <c r="S446" i="9"/>
  <c r="R446" i="9"/>
  <c r="S243" i="9"/>
  <c r="R243" i="9"/>
  <c r="S165" i="9"/>
  <c r="R165" i="9"/>
  <c r="S90" i="9"/>
  <c r="R90" i="9"/>
  <c r="R375" i="9"/>
  <c r="R478" i="9"/>
  <c r="R173" i="9"/>
  <c r="R358" i="9"/>
  <c r="R482" i="9"/>
  <c r="R406" i="9"/>
  <c r="R241" i="9"/>
  <c r="R343" i="9"/>
  <c r="S543" i="9"/>
  <c r="R479" i="9"/>
  <c r="S479" i="9"/>
  <c r="S442" i="9"/>
  <c r="S286" i="9"/>
  <c r="R286" i="9"/>
  <c r="S255" i="9"/>
  <c r="R255" i="9"/>
  <c r="S242" i="9"/>
  <c r="S132" i="9"/>
  <c r="R148" i="9"/>
  <c r="S148" i="9"/>
  <c r="R398" i="9"/>
  <c r="R417" i="9"/>
  <c r="R144" i="9"/>
  <c r="R280" i="9"/>
  <c r="R387" i="9"/>
  <c r="S388" i="9"/>
  <c r="S413" i="9"/>
  <c r="R202" i="9"/>
  <c r="S443" i="9"/>
  <c r="R266" i="9"/>
  <c r="B568" i="9"/>
  <c r="B165" i="11"/>
  <c r="C159" i="11" s="1"/>
  <c r="N206" i="11"/>
  <c r="R15" i="8"/>
  <c r="R41" i="8"/>
  <c r="R92" i="8"/>
  <c r="S86" i="8"/>
  <c r="S18" i="8"/>
  <c r="R96" i="8"/>
  <c r="R73" i="8"/>
  <c r="R118" i="8"/>
  <c r="S117" i="8"/>
  <c r="R106" i="8"/>
  <c r="R89" i="8"/>
  <c r="R64" i="8"/>
  <c r="S71" i="8"/>
  <c r="D117" i="10"/>
  <c r="R23" i="8"/>
  <c r="R107" i="8"/>
  <c r="R70" i="8"/>
  <c r="R47" i="8"/>
  <c r="S56" i="8"/>
  <c r="S122" i="8"/>
  <c r="S93" i="8"/>
  <c r="R125" i="8"/>
  <c r="R34" i="8"/>
  <c r="R65" i="8"/>
  <c r="S81" i="8"/>
  <c r="R24" i="8"/>
  <c r="B136" i="8"/>
  <c r="D106" i="10"/>
  <c r="B14" i="11" s="1"/>
  <c r="F143" i="11"/>
  <c r="I147" i="11"/>
  <c r="B143" i="11"/>
  <c r="D143" i="11"/>
  <c r="J143" i="11"/>
  <c r="S31" i="7"/>
  <c r="L144" i="11"/>
  <c r="M144" i="11" s="1"/>
  <c r="S25" i="7"/>
  <c r="J144" i="11" s="1"/>
  <c r="K144" i="11" s="1"/>
  <c r="S30" i="7"/>
  <c r="S51" i="7"/>
  <c r="R52" i="7"/>
  <c r="R59" i="7"/>
  <c r="S42" i="7"/>
  <c r="S41" i="7"/>
  <c r="S39" i="7"/>
  <c r="R41" i="6"/>
  <c r="S31" i="6"/>
  <c r="S14" i="6"/>
  <c r="D133" i="11" s="1"/>
  <c r="S50" i="6"/>
  <c r="R51" i="6"/>
  <c r="R39" i="6"/>
  <c r="R37" i="6"/>
  <c r="R42" i="6"/>
  <c r="S40" i="6"/>
  <c r="L134" i="11" s="1"/>
  <c r="M134" i="11" s="1"/>
  <c r="R15" i="6"/>
  <c r="R67" i="6"/>
  <c r="R60" i="6"/>
  <c r="R24" i="6"/>
  <c r="H133" i="11"/>
  <c r="I133" i="11" s="1"/>
  <c r="J133" i="11"/>
  <c r="K133" i="11" s="1"/>
  <c r="L133" i="11"/>
  <c r="M133" i="11" s="1"/>
  <c r="F133" i="11"/>
  <c r="G133" i="11" s="1"/>
  <c r="R30" i="6"/>
  <c r="R36" i="6"/>
  <c r="R48" i="6"/>
  <c r="R29" i="6"/>
  <c r="R44" i="6"/>
  <c r="H134" i="11"/>
  <c r="I134" i="11" s="1"/>
  <c r="F134" i="11"/>
  <c r="G134" i="11" s="1"/>
  <c r="R22" i="6"/>
  <c r="S49" i="6"/>
  <c r="R13" i="6"/>
  <c r="D134" i="11"/>
  <c r="R21" i="6"/>
  <c r="R17" i="6"/>
  <c r="J135" i="11"/>
  <c r="K135" i="11" s="1"/>
  <c r="S58" i="6"/>
  <c r="R64" i="6"/>
  <c r="R38" i="6"/>
  <c r="N204" i="11"/>
  <c r="R501" i="5"/>
  <c r="R272" i="5"/>
  <c r="R287" i="5"/>
  <c r="S33" i="5"/>
  <c r="R306" i="5"/>
  <c r="R379" i="5"/>
  <c r="S149" i="5"/>
  <c r="R420" i="5"/>
  <c r="S443" i="5"/>
  <c r="R380" i="5"/>
  <c r="S447" i="5"/>
  <c r="R104" i="5"/>
  <c r="S516" i="5"/>
  <c r="S378" i="5"/>
  <c r="R28" i="5"/>
  <c r="R333" i="5"/>
  <c r="S247" i="5"/>
  <c r="R198" i="5"/>
  <c r="R316" i="5"/>
  <c r="S301" i="5"/>
  <c r="R134" i="5"/>
  <c r="R517" i="5"/>
  <c r="R511" i="5"/>
  <c r="R285" i="5"/>
  <c r="R73" i="5"/>
  <c r="R155" i="5"/>
  <c r="R493" i="5"/>
  <c r="R310" i="5"/>
  <c r="S187" i="5"/>
  <c r="R492" i="5"/>
  <c r="R385" i="5"/>
  <c r="S274" i="5"/>
  <c r="S302" i="5"/>
  <c r="R119" i="5"/>
  <c r="R82" i="5"/>
  <c r="R59" i="5"/>
  <c r="R240" i="5"/>
  <c r="S11" i="5"/>
  <c r="S418" i="5"/>
  <c r="R90" i="5"/>
  <c r="R268" i="5"/>
  <c r="R346" i="5"/>
  <c r="S394" i="5"/>
  <c r="R399" i="5"/>
  <c r="R375" i="5"/>
  <c r="S218" i="5"/>
  <c r="S419" i="5"/>
  <c r="R65" i="5"/>
  <c r="S438" i="5"/>
  <c r="S312" i="5"/>
  <c r="R422" i="5"/>
  <c r="R83" i="5"/>
  <c r="R37" i="5"/>
  <c r="N203" i="11"/>
  <c r="R281" i="5"/>
  <c r="R204" i="5"/>
  <c r="S488" i="5"/>
  <c r="S442" i="5"/>
  <c r="R184" i="5"/>
  <c r="R485" i="5"/>
  <c r="S486" i="5"/>
  <c r="S455" i="5"/>
  <c r="S140" i="5"/>
  <c r="R46" i="5"/>
  <c r="S51" i="5"/>
  <c r="R216" i="5"/>
  <c r="R144" i="5"/>
  <c r="S451" i="5"/>
  <c r="R407" i="5"/>
  <c r="R271" i="5"/>
  <c r="R413" i="5"/>
  <c r="R509" i="5"/>
  <c r="R262" i="5"/>
  <c r="S387" i="5"/>
  <c r="S40" i="5"/>
  <c r="R480" i="5"/>
  <c r="R388" i="5"/>
  <c r="R194" i="5"/>
  <c r="R373" i="5"/>
  <c r="R309" i="5"/>
  <c r="R364" i="5"/>
  <c r="S294" i="5"/>
  <c r="R347" i="5"/>
  <c r="S160" i="5"/>
  <c r="S370" i="5"/>
  <c r="S231" i="5"/>
  <c r="R21" i="5"/>
  <c r="R31" i="5"/>
  <c r="S71" i="5"/>
  <c r="R472" i="5"/>
  <c r="R158" i="5"/>
  <c r="R181" i="5"/>
  <c r="R186" i="5"/>
  <c r="R421" i="5"/>
  <c r="S243" i="5"/>
  <c r="R329" i="5"/>
  <c r="S282" i="5"/>
  <c r="S339" i="5"/>
  <c r="S471" i="5"/>
  <c r="S426" i="5"/>
  <c r="S358" i="5"/>
  <c r="R456" i="5"/>
  <c r="R276" i="5"/>
  <c r="R154" i="5"/>
  <c r="R334" i="5"/>
  <c r="R213" i="5"/>
  <c r="R148" i="5"/>
  <c r="R470" i="5"/>
  <c r="S226" i="5"/>
  <c r="R38" i="5"/>
  <c r="R87" i="5"/>
  <c r="R76" i="5"/>
  <c r="S458" i="5"/>
  <c r="S314" i="5"/>
  <c r="S269" i="5"/>
  <c r="R504" i="5"/>
  <c r="R92" i="5"/>
  <c r="R180" i="5"/>
  <c r="R313" i="5"/>
  <c r="R454" i="5"/>
  <c r="R214" i="5"/>
  <c r="S221" i="5"/>
  <c r="S236" i="5"/>
  <c r="S495" i="5"/>
  <c r="R510" i="5"/>
  <c r="R267" i="5"/>
  <c r="R250" i="5"/>
  <c r="S450" i="5"/>
  <c r="S210" i="5"/>
  <c r="S410" i="5"/>
  <c r="R12" i="5"/>
  <c r="R118" i="5"/>
  <c r="S32" i="5"/>
  <c r="R113" i="5"/>
  <c r="S131" i="5"/>
  <c r="R254" i="5"/>
  <c r="R368" i="5"/>
  <c r="S284" i="5"/>
  <c r="S307" i="5"/>
  <c r="S335" i="5"/>
  <c r="S36" i="5"/>
  <c r="R77" i="5"/>
  <c r="R505" i="5"/>
  <c r="R444" i="5"/>
  <c r="R371" i="5"/>
  <c r="R296" i="5"/>
  <c r="R408" i="5"/>
  <c r="R138" i="5"/>
  <c r="R143" i="5"/>
  <c r="R315" i="5"/>
  <c r="R361" i="5"/>
  <c r="R139" i="5"/>
  <c r="S507" i="5"/>
  <c r="R238" i="5"/>
  <c r="S340" i="5"/>
  <c r="S513" i="5"/>
  <c r="S487" i="5"/>
  <c r="S463" i="5"/>
  <c r="S386" i="5"/>
  <c r="S353" i="5"/>
  <c r="S308" i="5"/>
  <c r="S320" i="5"/>
  <c r="S377" i="5"/>
  <c r="R101" i="5"/>
  <c r="R423" i="5"/>
  <c r="R432" i="5"/>
  <c r="R292" i="5"/>
  <c r="R392" i="5"/>
  <c r="R279" i="5"/>
  <c r="R291" i="5"/>
  <c r="R330" i="5"/>
  <c r="R256" i="5"/>
  <c r="R359" i="5"/>
  <c r="R417" i="5"/>
  <c r="R519" i="5"/>
  <c r="S494" i="5"/>
  <c r="S425" i="5"/>
  <c r="S322" i="5"/>
  <c r="S157" i="5"/>
  <c r="R228" i="5"/>
  <c r="S483" i="5"/>
  <c r="S459" i="5"/>
  <c r="S382" i="5"/>
  <c r="S199" i="5"/>
  <c r="S233" i="5"/>
  <c r="S427" i="5"/>
  <c r="R29" i="5"/>
  <c r="R14" i="5"/>
  <c r="R105" i="5"/>
  <c r="S27" i="5"/>
  <c r="S127" i="5"/>
  <c r="R498" i="5"/>
  <c r="R224" i="5"/>
  <c r="R249" i="5"/>
  <c r="R319" i="5"/>
  <c r="R201" i="5"/>
  <c r="R401" i="5"/>
  <c r="R136" i="5"/>
  <c r="S490" i="5"/>
  <c r="S466" i="5"/>
  <c r="S336" i="5"/>
  <c r="S290" i="5"/>
  <c r="S479" i="5"/>
  <c r="S156" i="5"/>
  <c r="S365" i="5"/>
  <c r="S48" i="5"/>
  <c r="S439" i="5"/>
  <c r="R424" i="5"/>
  <c r="R208" i="5"/>
  <c r="R396" i="5"/>
  <c r="S344" i="5"/>
  <c r="R411" i="5"/>
  <c r="R207" i="5"/>
  <c r="S266" i="5"/>
  <c r="S196" i="5"/>
  <c r="R175" i="5"/>
  <c r="S108" i="5"/>
  <c r="R22" i="5"/>
  <c r="R245" i="5"/>
  <c r="R397" i="5"/>
  <c r="R72" i="5"/>
  <c r="R107" i="5"/>
  <c r="R474" i="5"/>
  <c r="R404" i="5"/>
  <c r="R323" i="5"/>
  <c r="R263" i="5"/>
  <c r="R381" i="5"/>
  <c r="R293" i="5"/>
  <c r="S362" i="5"/>
  <c r="S195" i="5"/>
  <c r="S258" i="5"/>
  <c r="S331" i="5"/>
  <c r="D117" i="11" s="1"/>
  <c r="E117" i="11" s="1"/>
  <c r="R50" i="5"/>
  <c r="R79" i="5"/>
  <c r="R111" i="5"/>
  <c r="R45" i="5"/>
  <c r="S441" i="5"/>
  <c r="R122" i="5"/>
  <c r="R121" i="5"/>
  <c r="R93" i="5"/>
  <c r="N115" i="11"/>
  <c r="B126" i="11"/>
  <c r="C120" i="11" s="1"/>
  <c r="D92" i="10"/>
  <c r="R435" i="5"/>
  <c r="R391" i="5"/>
  <c r="R384" i="5"/>
  <c r="R235" i="5"/>
  <c r="R205" i="5"/>
  <c r="R244" i="5"/>
  <c r="R428" i="5"/>
  <c r="R252" i="5"/>
  <c r="R188" i="5"/>
  <c r="R369" i="5"/>
  <c r="R506" i="5"/>
  <c r="R461" i="5"/>
  <c r="R237" i="5"/>
  <c r="R203" i="5"/>
  <c r="R389" i="5"/>
  <c r="S234" i="5"/>
  <c r="S141" i="5"/>
  <c r="S191" i="5"/>
  <c r="S434" i="5"/>
  <c r="S414" i="5"/>
  <c r="S390" i="5"/>
  <c r="S366" i="5"/>
  <c r="S182" i="5"/>
  <c r="R193" i="5"/>
  <c r="R19" i="5"/>
  <c r="R112" i="5"/>
  <c r="R49" i="5"/>
  <c r="S78" i="5"/>
  <c r="R484" i="5"/>
  <c r="R239" i="5"/>
  <c r="R300" i="5"/>
  <c r="R227" i="5"/>
  <c r="R412" i="5"/>
  <c r="R232" i="5"/>
  <c r="R520" i="5"/>
  <c r="R499" i="5"/>
  <c r="R457" i="5"/>
  <c r="R277" i="5"/>
  <c r="R217" i="5"/>
  <c r="R343" i="5"/>
  <c r="S512" i="5"/>
  <c r="S409" i="5"/>
  <c r="S230" i="5"/>
  <c r="S360" i="5"/>
  <c r="S209" i="5"/>
  <c r="R137" i="5"/>
  <c r="S430" i="5"/>
  <c r="S354" i="5"/>
  <c r="R13" i="5"/>
  <c r="R42" i="5"/>
  <c r="R20" i="5"/>
  <c r="R86" i="5"/>
  <c r="S440" i="5"/>
  <c r="R496" i="5"/>
  <c r="R518" i="5"/>
  <c r="R159" i="5"/>
  <c r="R433" i="5"/>
  <c r="R183" i="5"/>
  <c r="R328" i="5"/>
  <c r="S133" i="5"/>
  <c r="R178" i="5"/>
  <c r="S251" i="5"/>
  <c r="J112" i="11" s="1"/>
  <c r="K112" i="11" s="1"/>
  <c r="S275" i="5"/>
  <c r="S363" i="5"/>
  <c r="S481" i="5"/>
  <c r="R17" i="5"/>
  <c r="R103" i="5"/>
  <c r="R26" i="5"/>
  <c r="R62" i="5"/>
  <c r="S99" i="5"/>
  <c r="R130" i="5"/>
  <c r="R126" i="5"/>
  <c r="L117" i="11"/>
  <c r="M117" i="11" s="1"/>
  <c r="R39" i="5"/>
  <c r="J117" i="11"/>
  <c r="K117" i="11" s="1"/>
  <c r="R345" i="5"/>
  <c r="R299" i="5"/>
  <c r="R352" i="5"/>
  <c r="R273" i="5"/>
  <c r="R393" i="5"/>
  <c r="S206" i="5"/>
  <c r="R406" i="5"/>
  <c r="R25" i="5"/>
  <c r="S66" i="5"/>
  <c r="R185" i="5"/>
  <c r="R289" i="5"/>
  <c r="R489" i="5"/>
  <c r="F117" i="11"/>
  <c r="G117" i="11" s="1"/>
  <c r="R460" i="5"/>
  <c r="R150" i="5"/>
  <c r="R264" i="5"/>
  <c r="R350" i="5"/>
  <c r="R257" i="5"/>
  <c r="R349" i="5"/>
  <c r="S503" i="5"/>
  <c r="S476" i="5"/>
  <c r="S462" i="5"/>
  <c r="S446" i="5"/>
  <c r="S270" i="5"/>
  <c r="S222" i="5"/>
  <c r="S318" i="5"/>
  <c r="S241" i="5"/>
  <c r="S153" i="5"/>
  <c r="S325" i="5"/>
  <c r="S212" i="5"/>
  <c r="S500" i="5"/>
  <c r="S402" i="5"/>
  <c r="R116" i="5"/>
  <c r="S24" i="5"/>
  <c r="R109" i="5"/>
  <c r="R98" i="5"/>
  <c r="S132" i="5"/>
  <c r="S128" i="5"/>
  <c r="H117" i="11"/>
  <c r="I117" i="11" s="1"/>
  <c r="R403" i="5"/>
  <c r="R260" i="5"/>
  <c r="R146" i="5"/>
  <c r="R259" i="5"/>
  <c r="R475" i="5"/>
  <c r="R437" i="5"/>
  <c r="R355" i="5"/>
  <c r="S376" i="5"/>
  <c r="S298" i="5"/>
  <c r="S176" i="5"/>
  <c r="F108" i="11" s="1"/>
  <c r="G108" i="11" s="1"/>
  <c r="R398" i="5"/>
  <c r="R95" i="5"/>
  <c r="R140" i="4"/>
  <c r="S388" i="4"/>
  <c r="R71" i="4"/>
  <c r="R344" i="4"/>
  <c r="G97" i="11"/>
  <c r="S303" i="4"/>
  <c r="S67" i="4"/>
  <c r="R86" i="4"/>
  <c r="R178" i="4"/>
  <c r="S64" i="4"/>
  <c r="S420" i="4"/>
  <c r="R411" i="4"/>
  <c r="S82" i="4"/>
  <c r="S89" i="4"/>
  <c r="R304" i="4"/>
  <c r="S319" i="4"/>
  <c r="R457" i="4"/>
  <c r="R154" i="4"/>
  <c r="R185" i="4"/>
  <c r="R310" i="4"/>
  <c r="R328" i="4"/>
  <c r="R427" i="4"/>
  <c r="R459" i="4"/>
  <c r="R419" i="4"/>
  <c r="S374" i="4"/>
  <c r="S442" i="4"/>
  <c r="R125" i="4"/>
  <c r="S14" i="4"/>
  <c r="S286" i="4"/>
  <c r="R76" i="4"/>
  <c r="R88" i="4"/>
  <c r="S30" i="4"/>
  <c r="R102" i="4"/>
  <c r="R431" i="4"/>
  <c r="R501" i="4"/>
  <c r="R150" i="4"/>
  <c r="S312" i="4"/>
  <c r="R87" i="4"/>
  <c r="S390" i="4"/>
  <c r="R24" i="4"/>
  <c r="R334" i="4"/>
  <c r="R172" i="4"/>
  <c r="R425" i="4"/>
  <c r="R195" i="4"/>
  <c r="S320" i="4"/>
  <c r="R90" i="4"/>
  <c r="S84" i="4"/>
  <c r="R324" i="4"/>
  <c r="R35" i="4"/>
  <c r="R164" i="4"/>
  <c r="R500" i="4"/>
  <c r="R446" i="4"/>
  <c r="R168" i="4"/>
  <c r="S175" i="4"/>
  <c r="R405" i="4"/>
  <c r="R275" i="4"/>
  <c r="R169" i="4"/>
  <c r="S133" i="4"/>
  <c r="S331" i="4"/>
  <c r="R398" i="4"/>
  <c r="R413" i="4"/>
  <c r="R223" i="4"/>
  <c r="R51" i="4"/>
  <c r="S373" i="4"/>
  <c r="R60" i="4"/>
  <c r="R72" i="4"/>
  <c r="S421" i="4"/>
  <c r="S356" i="4"/>
  <c r="R438" i="4"/>
  <c r="R54" i="4"/>
  <c r="S263" i="4"/>
  <c r="S384" i="4"/>
  <c r="S13" i="4"/>
  <c r="R46" i="4"/>
  <c r="S194" i="4"/>
  <c r="S201" i="4"/>
  <c r="S461" i="4"/>
  <c r="S177" i="4"/>
  <c r="R345" i="4"/>
  <c r="S455" i="4"/>
  <c r="S50" i="4"/>
  <c r="R188" i="4"/>
  <c r="R502" i="4"/>
  <c r="R73" i="4"/>
  <c r="R245" i="4"/>
  <c r="R202" i="4"/>
  <c r="R152" i="4"/>
  <c r="R400" i="4"/>
  <c r="S139" i="4"/>
  <c r="R293" i="4"/>
  <c r="R437" i="4"/>
  <c r="S34" i="4"/>
  <c r="R39" i="4"/>
  <c r="S316" i="4"/>
  <c r="S323" i="4"/>
  <c r="S449" i="4"/>
  <c r="S215" i="4"/>
  <c r="R37" i="4"/>
  <c r="R74" i="4"/>
  <c r="R121" i="4"/>
  <c r="R261" i="4"/>
  <c r="R66" i="4"/>
  <c r="S499" i="4"/>
  <c r="R116" i="4"/>
  <c r="R181" i="4"/>
  <c r="R129" i="4"/>
  <c r="S20" i="4"/>
  <c r="R220" i="4"/>
  <c r="R386" i="4"/>
  <c r="S204" i="4"/>
  <c r="S311" i="4"/>
  <c r="S445" i="4"/>
  <c r="R493" i="4"/>
  <c r="R453" i="4"/>
  <c r="R144" i="4"/>
  <c r="R80" i="4"/>
  <c r="R95" i="4"/>
  <c r="S126" i="4"/>
  <c r="S138" i="4"/>
  <c r="S148" i="4"/>
  <c r="S158" i="4"/>
  <c r="S251" i="4"/>
  <c r="S441" i="4"/>
  <c r="R207" i="4"/>
  <c r="R238" i="4"/>
  <c r="R497" i="4"/>
  <c r="R415" i="4"/>
  <c r="R159" i="4"/>
  <c r="R187" i="4"/>
  <c r="R315" i="4"/>
  <c r="S17" i="4"/>
  <c r="R59" i="4"/>
  <c r="R412" i="4"/>
  <c r="S244" i="4"/>
  <c r="S18" i="4"/>
  <c r="R247" i="4"/>
  <c r="R270" i="4"/>
  <c r="S309" i="4"/>
  <c r="R40" i="4"/>
  <c r="R218" i="4"/>
  <c r="R283" i="4"/>
  <c r="R235" i="4"/>
  <c r="R393" i="4"/>
  <c r="R155" i="4"/>
  <c r="R358" i="4"/>
  <c r="S302" i="4"/>
  <c r="S156" i="4"/>
  <c r="R475" i="4"/>
  <c r="R147" i="4"/>
  <c r="R359" i="4"/>
  <c r="R203" i="4"/>
  <c r="R296" i="4"/>
  <c r="S360" i="4"/>
  <c r="S264" i="4"/>
  <c r="S157" i="4"/>
  <c r="R330" i="4"/>
  <c r="S430" i="4"/>
  <c r="R422" i="4"/>
  <c r="R166" i="4"/>
  <c r="S70" i="4"/>
  <c r="R489" i="4"/>
  <c r="R92" i="4"/>
  <c r="R183" i="4"/>
  <c r="R45" i="4"/>
  <c r="R448" i="4"/>
  <c r="S314" i="4"/>
  <c r="R104" i="4"/>
  <c r="R132" i="4"/>
  <c r="R467" i="4"/>
  <c r="R118" i="4"/>
  <c r="S385" i="4"/>
  <c r="R233" i="4"/>
  <c r="R454" i="4"/>
  <c r="R120" i="4"/>
  <c r="S151" i="4"/>
  <c r="R407" i="4"/>
  <c r="R306" i="4"/>
  <c r="S292" i="4"/>
  <c r="R307" i="4"/>
  <c r="R483" i="4"/>
  <c r="R401" i="4"/>
  <c r="S167" i="4"/>
  <c r="S117" i="4"/>
  <c r="S173" i="4"/>
  <c r="R49" i="4"/>
  <c r="R378" i="4"/>
  <c r="R190" i="4"/>
  <c r="R106" i="4"/>
  <c r="S174" i="4"/>
  <c r="R294" i="4"/>
  <c r="R379" i="4"/>
  <c r="S363" i="4"/>
  <c r="R410" i="4"/>
  <c r="R240" i="4"/>
  <c r="R440" i="4"/>
  <c r="R435" i="4"/>
  <c r="R180" i="4"/>
  <c r="R439" i="4"/>
  <c r="R119" i="4"/>
  <c r="S165" i="4"/>
  <c r="S248" i="4"/>
  <c r="R333" i="4"/>
  <c r="S473" i="4"/>
  <c r="J96" i="11" s="1"/>
  <c r="K96" i="11" s="1"/>
  <c r="R239" i="4"/>
  <c r="R105" i="4"/>
  <c r="R91" i="4"/>
  <c r="R31" i="4"/>
  <c r="S206" i="4"/>
  <c r="S503" i="4"/>
  <c r="S170" i="4"/>
  <c r="S285" i="4"/>
  <c r="S269" i="4"/>
  <c r="R416" i="4"/>
  <c r="R426" i="4"/>
  <c r="R115" i="4"/>
  <c r="R41" i="4"/>
  <c r="R447" i="4"/>
  <c r="R149" i="4"/>
  <c r="R383" i="4"/>
  <c r="R300" i="4"/>
  <c r="R83" i="4"/>
  <c r="H81" i="11"/>
  <c r="I81" i="11" s="1"/>
  <c r="S276" i="4"/>
  <c r="S56" i="4"/>
  <c r="R423" i="4"/>
  <c r="R77" i="4"/>
  <c r="R48" i="4"/>
  <c r="R301" i="4"/>
  <c r="S122" i="4"/>
  <c r="S278" i="4"/>
  <c r="R19" i="4"/>
  <c r="R432" i="4"/>
  <c r="R443" i="4"/>
  <c r="R436" i="4"/>
  <c r="S452" i="4"/>
  <c r="R231" i="4"/>
  <c r="R225" i="4"/>
  <c r="R365" i="4"/>
  <c r="R279" i="4"/>
  <c r="R313" i="4"/>
  <c r="R376" i="4"/>
  <c r="N202" i="11"/>
  <c r="S428" i="4"/>
  <c r="S460" i="4"/>
  <c r="R228" i="4"/>
  <c r="S424" i="4"/>
  <c r="R184" i="4"/>
  <c r="R290" i="4"/>
  <c r="S200" i="4"/>
  <c r="S186" i="4"/>
  <c r="R308" i="4"/>
  <c r="R127" i="4"/>
  <c r="R498" i="4"/>
  <c r="R69" i="4"/>
  <c r="R496" i="4"/>
  <c r="S417" i="4"/>
  <c r="R134" i="4"/>
  <c r="R219" i="4"/>
  <c r="R114" i="4"/>
  <c r="R229" i="4"/>
  <c r="R42" i="4"/>
  <c r="R406" i="4"/>
  <c r="S135" i="4"/>
  <c r="S209" i="4"/>
  <c r="S429" i="4"/>
  <c r="S381" i="4"/>
  <c r="R465" i="4"/>
  <c r="R197" i="4"/>
  <c r="S141" i="4"/>
  <c r="F96" i="11"/>
  <c r="G96" i="11" s="1"/>
  <c r="R259" i="4"/>
  <c r="R297" i="4"/>
  <c r="R136" i="4"/>
  <c r="R68" i="4"/>
  <c r="R351" i="4"/>
  <c r="R409" i="4"/>
  <c r="R198" i="4"/>
  <c r="R221" i="4"/>
  <c r="R402" i="4"/>
  <c r="S161" i="4"/>
  <c r="R101" i="4"/>
  <c r="R62" i="4"/>
  <c r="R191" i="4"/>
  <c r="R444" i="4"/>
  <c r="S192" i="4"/>
  <c r="S211" i="4"/>
  <c r="S382" i="4"/>
  <c r="S208" i="4"/>
  <c r="R208" i="4"/>
  <c r="S243" i="4"/>
  <c r="R243" i="4"/>
  <c r="S298" i="4"/>
  <c r="R298" i="4"/>
  <c r="S377" i="4"/>
  <c r="R377" i="4"/>
  <c r="S414" i="4"/>
  <c r="R414" i="4"/>
  <c r="S450" i="4"/>
  <c r="R124" i="4"/>
  <c r="S494" i="4"/>
  <c r="R11" i="4"/>
  <c r="J81" i="11"/>
  <c r="K81" i="11" s="1"/>
  <c r="R189" i="4"/>
  <c r="R277" i="4"/>
  <c r="S55" i="4"/>
  <c r="R55" i="4"/>
  <c r="S371" i="4"/>
  <c r="R371" i="4"/>
  <c r="S399" i="4"/>
  <c r="R399" i="4"/>
  <c r="R492" i="4"/>
  <c r="S492" i="4"/>
  <c r="R408" i="4"/>
  <c r="F81" i="11"/>
  <c r="G81" i="11" s="1"/>
  <c r="S456" i="4"/>
  <c r="B513" i="4"/>
  <c r="D81" i="11"/>
  <c r="L81" i="11"/>
  <c r="M81" i="11" s="1"/>
  <c r="S75" i="4"/>
  <c r="R75" i="4"/>
  <c r="S236" i="4"/>
  <c r="R236" i="4"/>
  <c r="R268" i="4"/>
  <c r="S268" i="4"/>
  <c r="S321" i="4"/>
  <c r="R321" i="4"/>
  <c r="S372" i="4"/>
  <c r="R43" i="4"/>
  <c r="S241" i="4"/>
  <c r="R349" i="4"/>
  <c r="S15" i="4"/>
  <c r="S27" i="4"/>
  <c r="R27" i="4"/>
  <c r="S32" i="4"/>
  <c r="R81" i="4"/>
  <c r="R38" i="4"/>
  <c r="S44" i="4"/>
  <c r="R176" i="4"/>
  <c r="S176" i="4"/>
  <c r="S182" i="4"/>
  <c r="S213" i="4"/>
  <c r="R213" i="4"/>
  <c r="S237" i="4"/>
  <c r="R305" i="4"/>
  <c r="S322" i="4"/>
  <c r="S329" i="4"/>
  <c r="S355" i="4"/>
  <c r="S12" i="4"/>
  <c r="R16" i="4"/>
  <c r="R21" i="4"/>
  <c r="S21" i="4"/>
  <c r="R29" i="4"/>
  <c r="S171" i="4"/>
  <c r="R171" i="4"/>
  <c r="S299" i="4"/>
  <c r="R299" i="4"/>
  <c r="S22" i="4"/>
  <c r="R22" i="4"/>
  <c r="R79" i="4"/>
  <c r="S79" i="4"/>
  <c r="S85" i="4"/>
  <c r="R85" i="4"/>
  <c r="R258" i="4"/>
  <c r="S258" i="4"/>
  <c r="S352" i="4"/>
  <c r="R352" i="4"/>
  <c r="R391" i="4"/>
  <c r="R458" i="4"/>
  <c r="S458" i="4"/>
  <c r="R179" i="4"/>
  <c r="S179" i="4"/>
  <c r="S217" i="4"/>
  <c r="R217" i="4"/>
  <c r="R318" i="4"/>
  <c r="S318" i="4"/>
  <c r="S332" i="4"/>
  <c r="S404" i="4"/>
  <c r="R137" i="4"/>
  <c r="R153" i="4"/>
  <c r="S199" i="4"/>
  <c r="R199" i="4"/>
  <c r="S205" i="4"/>
  <c r="S246" i="4"/>
  <c r="R246" i="4"/>
  <c r="S266" i="4"/>
  <c r="R266" i="4"/>
  <c r="S295" i="4"/>
  <c r="S325" i="4"/>
  <c r="R325" i="4"/>
  <c r="S491" i="4"/>
  <c r="R491" i="4"/>
  <c r="S249" i="4"/>
  <c r="R113" i="4"/>
  <c r="R250" i="4"/>
  <c r="R272" i="4"/>
  <c r="R96" i="4"/>
  <c r="R25" i="4"/>
  <c r="E83" i="11"/>
  <c r="G83" i="11"/>
  <c r="B98" i="11"/>
  <c r="C84" i="11" s="1"/>
  <c r="D68" i="10"/>
  <c r="R166" i="3"/>
  <c r="R179" i="3"/>
  <c r="S341" i="3"/>
  <c r="R349" i="3"/>
  <c r="S31" i="3"/>
  <c r="R88" i="3"/>
  <c r="S82" i="3"/>
  <c r="S91" i="3"/>
  <c r="S98" i="3"/>
  <c r="S104" i="3"/>
  <c r="S185" i="3"/>
  <c r="R352" i="3"/>
  <c r="R11" i="3"/>
  <c r="R13" i="3"/>
  <c r="R110" i="3"/>
  <c r="R186" i="3"/>
  <c r="R202" i="3"/>
  <c r="R212" i="3"/>
  <c r="R336" i="3"/>
  <c r="R347" i="3"/>
  <c r="R134" i="3"/>
  <c r="S131" i="3"/>
  <c r="R184" i="3"/>
  <c r="R199" i="3"/>
  <c r="R360" i="3"/>
  <c r="S86" i="3"/>
  <c r="S108" i="3"/>
  <c r="S112" i="3"/>
  <c r="S124" i="3"/>
  <c r="S183" i="3"/>
  <c r="F67" i="11" s="1"/>
  <c r="G67" i="11" s="1"/>
  <c r="S221" i="3"/>
  <c r="S245" i="3"/>
  <c r="S249" i="3"/>
  <c r="R254" i="3"/>
  <c r="S263" i="3"/>
  <c r="B274" i="3"/>
  <c r="R329" i="3"/>
  <c r="R335" i="3"/>
  <c r="R67" i="3"/>
  <c r="S177" i="3"/>
  <c r="S236" i="3"/>
  <c r="R355" i="3"/>
  <c r="S339" i="3"/>
  <c r="S61" i="3"/>
  <c r="S21" i="3"/>
  <c r="S47" i="3"/>
  <c r="S76" i="3"/>
  <c r="R80" i="3"/>
  <c r="S102" i="3"/>
  <c r="R118" i="3"/>
  <c r="S129" i="3"/>
  <c r="S188" i="3"/>
  <c r="R204" i="3"/>
  <c r="S242" i="3"/>
  <c r="S253" i="3"/>
  <c r="R51" i="3"/>
  <c r="R234" i="3"/>
  <c r="S359" i="3"/>
  <c r="R343" i="3"/>
  <c r="R87" i="3"/>
  <c r="R175" i="3"/>
  <c r="R191" i="3"/>
  <c r="R350" i="3"/>
  <c r="R327" i="3"/>
  <c r="R22" i="3"/>
  <c r="R46" i="3"/>
  <c r="R93" i="3"/>
  <c r="R163" i="3"/>
  <c r="R180" i="3"/>
  <c r="R209" i="3"/>
  <c r="R258" i="3"/>
  <c r="R29" i="3"/>
  <c r="S331" i="3"/>
  <c r="S70" i="3"/>
  <c r="R107" i="3"/>
  <c r="S111" i="3"/>
  <c r="R137" i="3"/>
  <c r="R168" i="3"/>
  <c r="R264" i="3"/>
  <c r="R39" i="3"/>
  <c r="R96" i="3"/>
  <c r="R133" i="3"/>
  <c r="R164" i="3"/>
  <c r="R198" i="3"/>
  <c r="R260" i="3"/>
  <c r="R90" i="3"/>
  <c r="S25" i="3"/>
  <c r="S192" i="3"/>
  <c r="E67" i="11"/>
  <c r="G58" i="11"/>
  <c r="D48" i="10"/>
  <c r="B10" i="11" s="1"/>
  <c r="R202" i="1"/>
  <c r="S38" i="1"/>
  <c r="S152" i="1"/>
  <c r="Q102" i="1"/>
  <c r="S102" i="1" s="1"/>
  <c r="R25" i="2"/>
  <c r="S66" i="2"/>
  <c r="K47" i="11"/>
  <c r="R75" i="2"/>
  <c r="R18" i="2"/>
  <c r="S29" i="2"/>
  <c r="R50" i="2"/>
  <c r="R72" i="2"/>
  <c r="R61" i="2"/>
  <c r="R85" i="2"/>
  <c r="R33" i="2"/>
  <c r="R95" i="2"/>
  <c r="R109" i="2"/>
  <c r="S39" i="2"/>
  <c r="S100" i="2"/>
  <c r="R118" i="2"/>
  <c r="S42" i="2"/>
  <c r="S58" i="2"/>
  <c r="S64" i="2"/>
  <c r="S88" i="2"/>
  <c r="S105" i="2"/>
  <c r="S11" i="2"/>
  <c r="R26" i="2"/>
  <c r="S31" i="2"/>
  <c r="S37" i="2"/>
  <c r="R45" i="2"/>
  <c r="S48" i="2"/>
  <c r="S59" i="2"/>
  <c r="S102" i="2"/>
  <c r="S27" i="2"/>
  <c r="R56" i="2"/>
  <c r="S60" i="2"/>
  <c r="H42" i="11" s="1"/>
  <c r="I42" i="11" s="1"/>
  <c r="S99" i="2"/>
  <c r="N200" i="11"/>
  <c r="D30" i="10"/>
  <c r="B200" i="11" s="1"/>
  <c r="R23" i="2"/>
  <c r="S68" i="2"/>
  <c r="S92" i="2"/>
  <c r="S115" i="2"/>
  <c r="B41" i="11"/>
  <c r="R21" i="2"/>
  <c r="S35" i="2"/>
  <c r="R43" i="2"/>
  <c r="S80" i="2"/>
  <c r="S86" i="2"/>
  <c r="S98" i="2"/>
  <c r="J46" i="11" s="1"/>
  <c r="K46" i="11" s="1"/>
  <c r="S119" i="2"/>
  <c r="R16" i="2"/>
  <c r="R49" i="2"/>
  <c r="R94" i="2"/>
  <c r="R41" i="2"/>
  <c r="N48" i="11"/>
  <c r="S70" i="2"/>
  <c r="S104" i="2"/>
  <c r="S111" i="2"/>
  <c r="B129" i="2"/>
  <c r="S13" i="2"/>
  <c r="R51" i="2"/>
  <c r="R20" i="2"/>
  <c r="N43" i="11"/>
  <c r="R28" i="2"/>
  <c r="R46" i="2"/>
  <c r="S180" i="1"/>
  <c r="R20" i="1"/>
  <c r="Q98" i="1"/>
  <c r="S98" i="1" s="1"/>
  <c r="R67" i="1"/>
  <c r="R41" i="1"/>
  <c r="B217" i="1"/>
  <c r="H199" i="11" s="1"/>
  <c r="H208" i="11" s="1"/>
  <c r="I206" i="11" s="1"/>
  <c r="S142" i="1"/>
  <c r="S143" i="1"/>
  <c r="S117" i="1"/>
  <c r="S62" i="1"/>
  <c r="R69" i="1"/>
  <c r="S127" i="1"/>
  <c r="R133" i="1"/>
  <c r="Q88" i="1"/>
  <c r="S88" i="1" s="1"/>
  <c r="S12" i="1"/>
  <c r="S136" i="1"/>
  <c r="R40" i="1"/>
  <c r="D30" i="11"/>
  <c r="E30" i="11" s="1"/>
  <c r="S63" i="1"/>
  <c r="S182" i="1"/>
  <c r="S175" i="1"/>
  <c r="R14" i="1"/>
  <c r="S198" i="1"/>
  <c r="R34" i="1"/>
  <c r="S33" i="1"/>
  <c r="S17" i="1"/>
  <c r="R154" i="1"/>
  <c r="R81" i="1"/>
  <c r="R64" i="1"/>
  <c r="R172" i="1"/>
  <c r="S86" i="1"/>
  <c r="R108" i="1"/>
  <c r="S53" i="1"/>
  <c r="S135" i="1"/>
  <c r="R141" i="1"/>
  <c r="R134" i="1"/>
  <c r="R186" i="1"/>
  <c r="S46" i="1"/>
  <c r="R209" i="1"/>
  <c r="L30" i="11"/>
  <c r="M30" i="11" s="1"/>
  <c r="R149" i="1"/>
  <c r="R30" i="1"/>
  <c r="S115" i="1"/>
  <c r="R151" i="1"/>
  <c r="S11" i="1"/>
  <c r="S157" i="1"/>
  <c r="S162" i="1"/>
  <c r="S171" i="1"/>
  <c r="S16" i="1"/>
  <c r="R87" i="1"/>
  <c r="R22" i="1"/>
  <c r="S128" i="1"/>
  <c r="R96" i="1"/>
  <c r="R105" i="1"/>
  <c r="R76" i="1"/>
  <c r="H30" i="11"/>
  <c r="I30" i="11" s="1"/>
  <c r="S160" i="1"/>
  <c r="R77" i="1"/>
  <c r="S36" i="1"/>
  <c r="S43" i="1"/>
  <c r="S208" i="1"/>
  <c r="R158" i="1"/>
  <c r="B218" i="1"/>
  <c r="J199" i="11" s="1"/>
  <c r="J208" i="11" s="1"/>
  <c r="K206" i="11" s="1"/>
  <c r="S161" i="1"/>
  <c r="S118" i="1"/>
  <c r="R56" i="1"/>
  <c r="R123" i="1"/>
  <c r="R176" i="1"/>
  <c r="S100" i="1"/>
  <c r="R100" i="1"/>
  <c r="R124" i="1"/>
  <c r="B219" i="1"/>
  <c r="L199" i="11" s="1"/>
  <c r="L208" i="11" s="1"/>
  <c r="M199" i="11" s="1"/>
  <c r="B220" i="1"/>
  <c r="J30" i="11"/>
  <c r="K30" i="11" s="1"/>
  <c r="R190" i="1"/>
  <c r="S92" i="1"/>
  <c r="S89" i="1"/>
  <c r="S150" i="1"/>
  <c r="S114" i="1"/>
  <c r="R57" i="1"/>
  <c r="R130" i="1"/>
  <c r="R210" i="1"/>
  <c r="S103" i="1"/>
  <c r="R19" i="1"/>
  <c r="R188" i="1"/>
  <c r="S184" i="1"/>
  <c r="R101" i="1"/>
  <c r="R156" i="1"/>
  <c r="S106" i="1"/>
  <c r="S74" i="1"/>
  <c r="R47" i="1"/>
  <c r="S29" i="1"/>
  <c r="R131" i="1"/>
  <c r="S181" i="1"/>
  <c r="S155" i="1"/>
  <c r="R121" i="1"/>
  <c r="S75" i="1"/>
  <c r="R25" i="1"/>
  <c r="R132" i="1"/>
  <c r="S122" i="1"/>
  <c r="S177" i="1"/>
  <c r="R15" i="1"/>
  <c r="Q85" i="1"/>
  <c r="S91" i="1"/>
  <c r="S173" i="1"/>
  <c r="B215" i="1"/>
  <c r="D199" i="11" s="1"/>
  <c r="B216" i="1"/>
  <c r="F199" i="11" s="1"/>
  <c r="S200" i="1"/>
  <c r="R98" i="1"/>
  <c r="S52" i="1"/>
  <c r="S179" i="1"/>
  <c r="S23" i="1"/>
  <c r="R65" i="1"/>
  <c r="S65" i="1"/>
  <c r="R196" i="1"/>
  <c r="R61" i="1"/>
  <c r="R31" i="1"/>
  <c r="R194" i="1"/>
  <c r="S110" i="1"/>
  <c r="S80" i="1"/>
  <c r="S26" i="1"/>
  <c r="R24" i="1"/>
  <c r="R203" i="1"/>
  <c r="R192" i="1"/>
  <c r="S79" i="1"/>
  <c r="S21" i="1"/>
  <c r="S129" i="1"/>
  <c r="R189" i="1"/>
  <c r="R84" i="1"/>
  <c r="S111" i="1"/>
  <c r="R27" i="1"/>
  <c r="F30" i="11"/>
  <c r="G30" i="11" s="1"/>
  <c r="R174" i="1"/>
  <c r="R195" i="1"/>
  <c r="S95" i="1"/>
  <c r="R159" i="1"/>
  <c r="R107" i="1"/>
  <c r="R78" i="1"/>
  <c r="S83" i="1"/>
  <c r="R58" i="1"/>
  <c r="S60" i="1"/>
  <c r="R97" i="1"/>
  <c r="R178" i="1"/>
  <c r="R191" i="1"/>
  <c r="D18" i="10"/>
  <c r="B8" i="11" s="1"/>
  <c r="B138" i="11"/>
  <c r="C137" i="11" s="1"/>
  <c r="D99" i="10"/>
  <c r="B56" i="11"/>
  <c r="B73" i="11" s="1"/>
  <c r="C65" i="11" s="1"/>
  <c r="B27" i="11"/>
  <c r="H96" i="11"/>
  <c r="I96" i="11" s="1"/>
  <c r="D96" i="11"/>
  <c r="L96" i="11"/>
  <c r="M96" i="11" s="1"/>
  <c r="J157" i="11"/>
  <c r="K157" i="11" s="1"/>
  <c r="D157" i="11"/>
  <c r="E157" i="11" s="1"/>
  <c r="F157" i="11"/>
  <c r="G157" i="11" s="1"/>
  <c r="L157" i="11"/>
  <c r="H157" i="11"/>
  <c r="I157" i="11" s="1"/>
  <c r="D175" i="11"/>
  <c r="L163" i="11"/>
  <c r="J163" i="11"/>
  <c r="K163" i="11" s="1"/>
  <c r="D163" i="11"/>
  <c r="E163" i="11" s="1"/>
  <c r="H163" i="11"/>
  <c r="I163" i="11" s="1"/>
  <c r="F163" i="11"/>
  <c r="G163" i="11" s="1"/>
  <c r="H164" i="11"/>
  <c r="I164" i="11" s="1"/>
  <c r="D164" i="11"/>
  <c r="E164" i="11" s="1"/>
  <c r="F164" i="11"/>
  <c r="G164" i="11" s="1"/>
  <c r="L164" i="11"/>
  <c r="J164" i="11"/>
  <c r="K164" i="11" s="1"/>
  <c r="R252" i="9"/>
  <c r="R366" i="9"/>
  <c r="R183" i="9"/>
  <c r="R84" i="8"/>
  <c r="R119" i="8"/>
  <c r="R39" i="8"/>
  <c r="R108" i="8"/>
  <c r="R36" i="9"/>
  <c r="R32" i="9"/>
  <c r="R169" i="9"/>
  <c r="R325" i="9"/>
  <c r="R474" i="9"/>
  <c r="R432" i="9"/>
  <c r="R544" i="9"/>
  <c r="R60" i="9"/>
  <c r="R164" i="9"/>
  <c r="R100" i="9"/>
  <c r="R460" i="9"/>
  <c r="R126" i="9"/>
  <c r="R420" i="9"/>
  <c r="R337" i="9"/>
  <c r="R458" i="9"/>
  <c r="R136" i="9"/>
  <c r="R309" i="9"/>
  <c r="R454" i="9"/>
  <c r="R57" i="8"/>
  <c r="R122" i="9"/>
  <c r="R314" i="9"/>
  <c r="R439" i="9"/>
  <c r="R45" i="8"/>
  <c r="R94" i="8"/>
  <c r="R75" i="9"/>
  <c r="R209" i="9"/>
  <c r="R468" i="9"/>
  <c r="R52" i="8"/>
  <c r="R275" i="9"/>
  <c r="R476" i="9"/>
  <c r="R548" i="9"/>
  <c r="R422" i="9"/>
  <c r="S25" i="9"/>
  <c r="S92" i="9"/>
  <c r="S114" i="9"/>
  <c r="S213" i="9"/>
  <c r="R272" i="9"/>
  <c r="R401" i="9"/>
  <c r="S46" i="9"/>
  <c r="S97" i="9"/>
  <c r="S131" i="9"/>
  <c r="R300" i="9"/>
  <c r="R319" i="9"/>
  <c r="R424" i="9"/>
  <c r="D112" i="11"/>
  <c r="L112" i="11"/>
  <c r="M112" i="11" s="1"/>
  <c r="R299" i="9"/>
  <c r="R54" i="8"/>
  <c r="R124" i="8"/>
  <c r="R320" i="9"/>
  <c r="R188" i="9"/>
  <c r="R335" i="9"/>
  <c r="R102" i="9"/>
  <c r="R259" i="9"/>
  <c r="R403" i="9"/>
  <c r="R364" i="9"/>
  <c r="R175" i="9"/>
  <c r="R430" i="9"/>
  <c r="R304" i="9"/>
  <c r="R434" i="9"/>
  <c r="R466" i="9"/>
  <c r="R43" i="8"/>
  <c r="R179" i="9"/>
  <c r="R295" i="9"/>
  <c r="R377" i="9"/>
  <c r="R480" i="9"/>
  <c r="R316" i="9"/>
  <c r="R66" i="8"/>
  <c r="R121" i="8"/>
  <c r="R104" i="8"/>
  <c r="R200" i="9"/>
  <c r="R22" i="8"/>
  <c r="R110" i="8"/>
  <c r="R87" i="9"/>
  <c r="R239" i="9"/>
  <c r="R373" i="9"/>
  <c r="R452" i="9"/>
  <c r="R484" i="9"/>
  <c r="R552" i="9"/>
  <c r="S121" i="9"/>
  <c r="S208" i="9"/>
  <c r="R428" i="9"/>
  <c r="R277" i="9"/>
  <c r="R352" i="9"/>
  <c r="R405" i="9"/>
  <c r="R307" i="9"/>
  <c r="S513" i="9"/>
  <c r="S98" i="8"/>
  <c r="S523" i="9"/>
  <c r="S79" i="8"/>
  <c r="S91" i="8"/>
  <c r="R44" i="9"/>
  <c r="R206" i="9"/>
  <c r="R305" i="9"/>
  <c r="R223" i="9"/>
  <c r="R345" i="9"/>
  <c r="R110" i="9"/>
  <c r="R250" i="9"/>
  <c r="R40" i="9"/>
  <c r="R339" i="9"/>
  <c r="R151" i="9"/>
  <c r="R31" i="8"/>
  <c r="R112" i="8"/>
  <c r="R112" i="9"/>
  <c r="R293" i="9"/>
  <c r="R354" i="9"/>
  <c r="R356" i="9"/>
  <c r="R291" i="9"/>
  <c r="R329" i="9"/>
  <c r="F112" i="11"/>
  <c r="G112" i="11" s="1"/>
  <c r="F113" i="11"/>
  <c r="G113" i="11" s="1"/>
  <c r="R33" i="7"/>
  <c r="R26" i="7"/>
  <c r="R47" i="7"/>
  <c r="H145" i="11"/>
  <c r="R56" i="7"/>
  <c r="R75" i="7"/>
  <c r="S60" i="7"/>
  <c r="S68" i="7"/>
  <c r="R348" i="5"/>
  <c r="R215" i="5"/>
  <c r="R304" i="5"/>
  <c r="R288" i="5"/>
  <c r="R142" i="5"/>
  <c r="R202" i="5"/>
  <c r="R147" i="5"/>
  <c r="R246" i="5"/>
  <c r="R351" i="5"/>
  <c r="R286" i="5"/>
  <c r="R278" i="5"/>
  <c r="R253" i="5"/>
  <c r="R145" i="5"/>
  <c r="R332" i="5"/>
  <c r="R317" i="5"/>
  <c r="R179" i="5"/>
  <c r="R374" i="5"/>
  <c r="S135" i="5"/>
  <c r="S200" i="5"/>
  <c r="S220" i="5"/>
  <c r="S223" i="5"/>
  <c r="S283" i="5"/>
  <c r="S342" i="5"/>
  <c r="S356" i="5"/>
  <c r="S429" i="5"/>
  <c r="S26" i="4"/>
  <c r="R26" i="4"/>
  <c r="S348" i="4"/>
  <c r="R348" i="4"/>
  <c r="S403" i="4"/>
  <c r="R403" i="4"/>
  <c r="R490" i="4"/>
  <c r="S490" i="4"/>
  <c r="S87" i="2"/>
  <c r="R87" i="2"/>
  <c r="R112" i="2"/>
  <c r="S41" i="3"/>
  <c r="R41" i="3"/>
  <c r="S79" i="3"/>
  <c r="R79" i="3"/>
  <c r="R121" i="3"/>
  <c r="S121" i="3"/>
  <c r="R200" i="3"/>
  <c r="S200" i="3"/>
  <c r="S215" i="3"/>
  <c r="R215" i="3"/>
  <c r="S218" i="3"/>
  <c r="R218" i="3"/>
  <c r="S233" i="3"/>
  <c r="R233" i="3"/>
  <c r="F71" i="11"/>
  <c r="G71" i="11" s="1"/>
  <c r="J71" i="11"/>
  <c r="K71" i="11" s="1"/>
  <c r="H71" i="11"/>
  <c r="I71" i="11" s="1"/>
  <c r="S183" i="1"/>
  <c r="R183" i="1"/>
  <c r="S199" i="1"/>
  <c r="R199" i="1"/>
  <c r="S93" i="1"/>
  <c r="R93" i="1"/>
  <c r="S23" i="4"/>
  <c r="R23" i="4"/>
  <c r="R216" i="4"/>
  <c r="S216" i="4"/>
  <c r="S267" i="4"/>
  <c r="R267" i="4"/>
  <c r="S287" i="4"/>
  <c r="R287" i="4"/>
  <c r="S317" i="4"/>
  <c r="R317" i="4"/>
  <c r="R12" i="2"/>
  <c r="S12" i="2"/>
  <c r="R55" i="2"/>
  <c r="S52" i="2"/>
  <c r="R52" i="2"/>
  <c r="S75" i="3"/>
  <c r="R75" i="3"/>
  <c r="S119" i="3"/>
  <c r="R119" i="3"/>
  <c r="S126" i="3"/>
  <c r="R126" i="3"/>
  <c r="S142" i="3"/>
  <c r="R142" i="3"/>
  <c r="S189" i="3"/>
  <c r="R189" i="3"/>
  <c r="S195" i="3"/>
  <c r="R195" i="3"/>
  <c r="R88" i="1"/>
  <c r="R45" i="7"/>
  <c r="R48" i="7"/>
  <c r="S50" i="7"/>
  <c r="S53" i="7"/>
  <c r="R77" i="7"/>
  <c r="S66" i="7"/>
  <c r="S65" i="7"/>
  <c r="S29" i="8"/>
  <c r="R514" i="5"/>
  <c r="R468" i="5"/>
  <c r="R452" i="5"/>
  <c r="R431" i="5"/>
  <c r="R415" i="5"/>
  <c r="R383" i="5"/>
  <c r="R416" i="5"/>
  <c r="R436" i="5"/>
  <c r="R280" i="5"/>
  <c r="R303" i="5"/>
  <c r="R255" i="5"/>
  <c r="R219" i="5"/>
  <c r="R177" i="5"/>
  <c r="R151" i="5"/>
  <c r="R341" i="5"/>
  <c r="R311" i="5"/>
  <c r="R337" i="5"/>
  <c r="R367" i="5"/>
  <c r="R327" i="5"/>
  <c r="R305" i="5"/>
  <c r="R502" i="5"/>
  <c r="R469" i="5"/>
  <c r="R453" i="5"/>
  <c r="R372" i="5"/>
  <c r="R321" i="5"/>
  <c r="R297" i="5"/>
  <c r="R190" i="5"/>
  <c r="R53" i="4"/>
  <c r="R242" i="4"/>
  <c r="R273" i="4"/>
  <c r="S65" i="4"/>
  <c r="R65" i="4"/>
  <c r="S123" i="4"/>
  <c r="R123" i="4"/>
  <c r="S47" i="2"/>
  <c r="R47" i="2"/>
  <c r="S65" i="2"/>
  <c r="R65" i="2"/>
  <c r="S94" i="3"/>
  <c r="R94" i="3"/>
  <c r="S103" i="3"/>
  <c r="R103" i="3"/>
  <c r="R125" i="3"/>
  <c r="S125" i="3"/>
  <c r="S257" i="3"/>
  <c r="R257" i="3"/>
  <c r="S395" i="9"/>
  <c r="R395" i="9"/>
  <c r="S391" i="9"/>
  <c r="R391" i="9"/>
  <c r="S385" i="9"/>
  <c r="R385" i="9"/>
  <c r="R35" i="7"/>
  <c r="R58" i="7"/>
  <c r="R478" i="5"/>
  <c r="R464" i="5"/>
  <c r="R448" i="5"/>
  <c r="R395" i="5"/>
  <c r="R400" i="5"/>
  <c r="R189" i="5"/>
  <c r="R248" i="5"/>
  <c r="R197" i="5"/>
  <c r="R295" i="5"/>
  <c r="R326" i="5"/>
  <c r="R338" i="5"/>
  <c r="R324" i="5"/>
  <c r="R515" i="5"/>
  <c r="R465" i="5"/>
  <c r="R449" i="5"/>
  <c r="R152" i="5"/>
  <c r="R261" i="5"/>
  <c r="R405" i="5"/>
  <c r="R265" i="5"/>
  <c r="R229" i="5"/>
  <c r="R63" i="4"/>
  <c r="S63" i="4"/>
  <c r="R214" i="4"/>
  <c r="S214" i="4"/>
  <c r="S375" i="4"/>
  <c r="R375" i="4"/>
  <c r="S397" i="4"/>
  <c r="R397" i="4"/>
  <c r="S15" i="2"/>
  <c r="S44" i="2"/>
  <c r="R44" i="2"/>
  <c r="S330" i="3"/>
  <c r="R330" i="3"/>
  <c r="S338" i="3"/>
  <c r="R338" i="3"/>
  <c r="S346" i="3"/>
  <c r="R346" i="3"/>
  <c r="S354" i="3"/>
  <c r="R354" i="3"/>
  <c r="S14" i="3"/>
  <c r="R14" i="3"/>
  <c r="S30" i="3"/>
  <c r="R30" i="3"/>
  <c r="S69" i="3"/>
  <c r="R69" i="3"/>
  <c r="S123" i="3"/>
  <c r="R123" i="3"/>
  <c r="R99" i="1"/>
  <c r="S99" i="1"/>
  <c r="S341" i="4"/>
  <c r="S347" i="4"/>
  <c r="R14" i="2"/>
  <c r="R40" i="2"/>
  <c r="S63" i="2"/>
  <c r="R63" i="2"/>
  <c r="S71" i="2"/>
  <c r="R71" i="2"/>
  <c r="S93" i="2"/>
  <c r="R93" i="2"/>
  <c r="R114" i="2"/>
  <c r="S110" i="2"/>
  <c r="R110" i="2"/>
  <c r="R24" i="3"/>
  <c r="R66" i="3"/>
  <c r="S328" i="3"/>
  <c r="R328" i="3"/>
  <c r="S344" i="3"/>
  <c r="R344" i="3"/>
  <c r="S20" i="3"/>
  <c r="R20" i="3"/>
  <c r="R50" i="3"/>
  <c r="R52" i="3"/>
  <c r="S73" i="3"/>
  <c r="R73" i="3"/>
  <c r="S85" i="3"/>
  <c r="R85" i="3"/>
  <c r="S92" i="3"/>
  <c r="R92" i="3"/>
  <c r="R150" i="3"/>
  <c r="S187" i="3"/>
  <c r="R187" i="3"/>
  <c r="R207" i="3"/>
  <c r="S207" i="3"/>
  <c r="S210" i="3"/>
  <c r="R210" i="3"/>
  <c r="S216" i="3"/>
  <c r="R216" i="3"/>
  <c r="R197" i="1"/>
  <c r="S197" i="1"/>
  <c r="R104" i="1"/>
  <c r="S18" i="1"/>
  <c r="S210" i="4"/>
  <c r="R212" i="4"/>
  <c r="S392" i="4"/>
  <c r="R36" i="2"/>
  <c r="S24" i="2"/>
  <c r="S30" i="2"/>
  <c r="S32" i="2"/>
  <c r="R53" i="2"/>
  <c r="S54" i="2"/>
  <c r="S69" i="2"/>
  <c r="R69" i="2"/>
  <c r="S76" i="2"/>
  <c r="R76" i="2"/>
  <c r="S91" i="2"/>
  <c r="R91" i="2"/>
  <c r="S103" i="2"/>
  <c r="R103" i="2"/>
  <c r="S108" i="2"/>
  <c r="R108" i="2"/>
  <c r="S116" i="2"/>
  <c r="R116" i="2"/>
  <c r="R12" i="3"/>
  <c r="R340" i="3"/>
  <c r="R332" i="3"/>
  <c r="S334" i="3"/>
  <c r="R334" i="3"/>
  <c r="S342" i="3"/>
  <c r="R342" i="3"/>
  <c r="S358" i="3"/>
  <c r="R358" i="3"/>
  <c r="S26" i="3"/>
  <c r="R26" i="3"/>
  <c r="S34" i="3"/>
  <c r="R34" i="3"/>
  <c r="R35" i="3"/>
  <c r="S37" i="3"/>
  <c r="R37" i="3"/>
  <c r="S44" i="3"/>
  <c r="S48" i="3"/>
  <c r="S54" i="3"/>
  <c r="S83" i="3"/>
  <c r="R83" i="3"/>
  <c r="R101" i="3"/>
  <c r="S165" i="3"/>
  <c r="S167" i="3"/>
  <c r="S169" i="3"/>
  <c r="R169" i="3"/>
  <c r="S174" i="3"/>
  <c r="S205" i="3"/>
  <c r="R240" i="3"/>
  <c r="S240" i="3"/>
  <c r="S259" i="3"/>
  <c r="R259" i="3"/>
  <c r="R386" i="9"/>
  <c r="R394" i="9"/>
  <c r="R193" i="1"/>
  <c r="S187" i="1"/>
  <c r="R187" i="1"/>
  <c r="R102" i="1"/>
  <c r="R116" i="1"/>
  <c r="R109" i="1"/>
  <c r="R112" i="1"/>
  <c r="S112" i="1"/>
  <c r="R119" i="1"/>
  <c r="S119" i="1"/>
  <c r="S35" i="1"/>
  <c r="S37" i="1"/>
  <c r="S39" i="1"/>
  <c r="R42" i="1"/>
  <c r="S42" i="1"/>
  <c r="S51" i="1"/>
  <c r="R54" i="1"/>
  <c r="S54" i="1"/>
  <c r="R126" i="1"/>
  <c r="S126" i="1"/>
  <c r="S57" i="2"/>
  <c r="R57" i="2"/>
  <c r="S67" i="2"/>
  <c r="R67" i="2"/>
  <c r="S89" i="2"/>
  <c r="R89" i="2"/>
  <c r="S101" i="2"/>
  <c r="R101" i="2"/>
  <c r="S106" i="2"/>
  <c r="R106" i="2"/>
  <c r="S348" i="3"/>
  <c r="R348" i="3"/>
  <c r="S58" i="3"/>
  <c r="R58" i="3"/>
  <c r="S16" i="3"/>
  <c r="R16" i="3"/>
  <c r="S32" i="3"/>
  <c r="R32" i="3"/>
  <c r="S43" i="3"/>
  <c r="R43" i="3"/>
  <c r="S77" i="3"/>
  <c r="R77" i="3"/>
  <c r="S105" i="3"/>
  <c r="R105" i="3"/>
  <c r="S116" i="3"/>
  <c r="R116" i="3"/>
  <c r="R194" i="3"/>
  <c r="S194" i="3"/>
  <c r="S197" i="3"/>
  <c r="R197" i="3"/>
  <c r="S223" i="3"/>
  <c r="R223" i="3"/>
  <c r="S235" i="3"/>
  <c r="R235" i="3"/>
  <c r="S241" i="3"/>
  <c r="R241" i="3"/>
  <c r="R185" i="1"/>
  <c r="S185" i="1"/>
  <c r="S201" i="1"/>
  <c r="R201" i="1"/>
  <c r="S90" i="1"/>
  <c r="R90" i="1"/>
  <c r="R113" i="1"/>
  <c r="S113" i="1"/>
  <c r="R120" i="1"/>
  <c r="S120" i="1"/>
  <c r="R55" i="1"/>
  <c r="S55" i="1"/>
  <c r="S59" i="1"/>
  <c r="R59" i="1"/>
  <c r="R125" i="1"/>
  <c r="J67" i="11"/>
  <c r="K67" i="11" s="1"/>
  <c r="S206" i="3"/>
  <c r="R206" i="3"/>
  <c r="S222" i="3"/>
  <c r="R222" i="3"/>
  <c r="N201" i="11"/>
  <c r="H67" i="11"/>
  <c r="R193" i="3"/>
  <c r="R201" i="3"/>
  <c r="S220" i="3"/>
  <c r="R220" i="3"/>
  <c r="S256" i="3"/>
  <c r="R256" i="3"/>
  <c r="R94" i="1"/>
  <c r="S45" i="1"/>
  <c r="R45" i="1"/>
  <c r="L105" i="11"/>
  <c r="M105" i="11" s="1"/>
  <c r="F105" i="11"/>
  <c r="G105" i="11" s="1"/>
  <c r="D105" i="11"/>
  <c r="J105" i="11"/>
  <c r="K105" i="11" s="1"/>
  <c r="H105" i="11"/>
  <c r="I105" i="11" s="1"/>
  <c r="R123" i="5"/>
  <c r="R106" i="5"/>
  <c r="R15" i="5"/>
  <c r="R120" i="5"/>
  <c r="R35" i="5"/>
  <c r="R30" i="5"/>
  <c r="R44" i="5"/>
  <c r="R114" i="5"/>
  <c r="R23" i="5"/>
  <c r="R34" i="6"/>
  <c r="R26" i="6"/>
  <c r="S32" i="6"/>
  <c r="R43" i="5"/>
  <c r="B530" i="5"/>
  <c r="D205" i="11"/>
  <c r="R102" i="5"/>
  <c r="R63" i="5"/>
  <c r="R47" i="5"/>
  <c r="R41" i="5"/>
  <c r="R12" i="6"/>
  <c r="S407" i="9"/>
  <c r="S412" i="9"/>
  <c r="R55" i="3"/>
  <c r="R91" i="5"/>
  <c r="S63" i="8"/>
  <c r="L159" i="11" s="1"/>
  <c r="S332" i="9"/>
  <c r="R425" i="9"/>
  <c r="R115" i="5"/>
  <c r="R74" i="5"/>
  <c r="R110" i="5"/>
  <c r="R117" i="5"/>
  <c r="R23" i="6"/>
  <c r="R18" i="6"/>
  <c r="R410" i="9"/>
  <c r="R19" i="8"/>
  <c r="R242" i="5"/>
  <c r="R508" i="5"/>
  <c r="S497" i="5"/>
  <c r="R497" i="5"/>
  <c r="R145" i="9"/>
  <c r="R66" i="9"/>
  <c r="S436" i="9"/>
  <c r="S131" i="4"/>
  <c r="S94" i="5"/>
  <c r="R94" i="5"/>
  <c r="R68" i="8"/>
  <c r="S68" i="8"/>
  <c r="R357" i="5"/>
  <c r="S357" i="5"/>
  <c r="R289" i="9"/>
  <c r="S289" i="9"/>
  <c r="S100" i="5"/>
  <c r="R100" i="5"/>
  <c r="R129" i="5"/>
  <c r="S129" i="5"/>
  <c r="R125" i="5"/>
  <c r="S125" i="5"/>
  <c r="S557" i="9"/>
  <c r="R557" i="9"/>
  <c r="R13" i="1"/>
  <c r="S13" i="1"/>
  <c r="S268" i="9"/>
  <c r="R268" i="9"/>
  <c r="S553" i="9"/>
  <c r="R553" i="9"/>
  <c r="R68" i="1"/>
  <c r="S68" i="1"/>
  <c r="R244" i="9"/>
  <c r="S244" i="9"/>
  <c r="R66" i="1"/>
  <c r="S66" i="1"/>
  <c r="S445" i="9"/>
  <c r="R445" i="9"/>
  <c r="S274" i="4"/>
  <c r="R274" i="4"/>
  <c r="S89" i="9"/>
  <c r="R89" i="9"/>
  <c r="R99" i="8"/>
  <c r="R153" i="9"/>
  <c r="R269" i="9"/>
  <c r="R554" i="9"/>
  <c r="R558" i="9"/>
  <c r="B205" i="11" l="1"/>
  <c r="K143" i="11"/>
  <c r="G143" i="11"/>
  <c r="H103" i="11"/>
  <c r="I103" i="11" s="1"/>
  <c r="J134" i="11"/>
  <c r="K134" i="11" s="1"/>
  <c r="H143" i="11"/>
  <c r="J109" i="11"/>
  <c r="K109" i="11" s="1"/>
  <c r="N133" i="11"/>
  <c r="O133" i="11" s="1"/>
  <c r="D71" i="11"/>
  <c r="H136" i="11"/>
  <c r="I136" i="11" s="1"/>
  <c r="D144" i="11"/>
  <c r="E144" i="11" s="1"/>
  <c r="D42" i="11"/>
  <c r="L67" i="11"/>
  <c r="M67" i="11" s="1"/>
  <c r="L71" i="11"/>
  <c r="M71" i="11" s="1"/>
  <c r="J62" i="11"/>
  <c r="K62" i="11" s="1"/>
  <c r="H63" i="11"/>
  <c r="I63" i="11" s="1"/>
  <c r="J60" i="11"/>
  <c r="K60" i="11" s="1"/>
  <c r="F175" i="11"/>
  <c r="G175" i="11" s="1"/>
  <c r="H190" i="11"/>
  <c r="I190" i="11" s="1"/>
  <c r="L191" i="11"/>
  <c r="M191" i="11" s="1"/>
  <c r="D184" i="11"/>
  <c r="E184" i="11" s="1"/>
  <c r="F189" i="11"/>
  <c r="G189" i="11" s="1"/>
  <c r="F190" i="11"/>
  <c r="G190" i="11" s="1"/>
  <c r="H184" i="11"/>
  <c r="I184" i="11" s="1"/>
  <c r="H183" i="11"/>
  <c r="I183" i="11" s="1"/>
  <c r="J183" i="11"/>
  <c r="K183" i="11" s="1"/>
  <c r="D183" i="11"/>
  <c r="E183" i="11" s="1"/>
  <c r="F184" i="11"/>
  <c r="G184" i="11" s="1"/>
  <c r="H175" i="11"/>
  <c r="I175" i="11" s="1"/>
  <c r="L183" i="11"/>
  <c r="M183" i="11" s="1"/>
  <c r="F183" i="11"/>
  <c r="G183" i="11" s="1"/>
  <c r="J184" i="11"/>
  <c r="K184" i="11" s="1"/>
  <c r="L184" i="11"/>
  <c r="M184" i="11" s="1"/>
  <c r="F191" i="11"/>
  <c r="G191" i="11" s="1"/>
  <c r="J175" i="11"/>
  <c r="K175" i="11" s="1"/>
  <c r="L177" i="11"/>
  <c r="M177" i="11" s="1"/>
  <c r="F187" i="11"/>
  <c r="G187" i="11" s="1"/>
  <c r="H172" i="11"/>
  <c r="I172" i="11" s="1"/>
  <c r="H178" i="11"/>
  <c r="I178" i="11" s="1"/>
  <c r="D191" i="11"/>
  <c r="E191" i="11" s="1"/>
  <c r="B207" i="11"/>
  <c r="J172" i="11"/>
  <c r="K172" i="11" s="1"/>
  <c r="D172" i="11"/>
  <c r="E172" i="11" s="1"/>
  <c r="J177" i="11"/>
  <c r="K177" i="11" s="1"/>
  <c r="L190" i="11"/>
  <c r="M190" i="11" s="1"/>
  <c r="C188" i="11"/>
  <c r="C179" i="11"/>
  <c r="C176" i="11"/>
  <c r="C187" i="11"/>
  <c r="C177" i="11"/>
  <c r="C180" i="11"/>
  <c r="C173" i="11"/>
  <c r="C183" i="11"/>
  <c r="C186" i="11"/>
  <c r="C171" i="11"/>
  <c r="C193" i="11"/>
  <c r="C192" i="11"/>
  <c r="C185" i="11"/>
  <c r="C178" i="11"/>
  <c r="C175" i="11"/>
  <c r="C182" i="11"/>
  <c r="C191" i="11"/>
  <c r="C174" i="11"/>
  <c r="C184" i="11"/>
  <c r="C190" i="11"/>
  <c r="C189" i="11"/>
  <c r="C172" i="11"/>
  <c r="F178" i="11"/>
  <c r="G178" i="11" s="1"/>
  <c r="F177" i="11"/>
  <c r="G177" i="11" s="1"/>
  <c r="H193" i="11"/>
  <c r="I193" i="11" s="1"/>
  <c r="D177" i="11"/>
  <c r="F174" i="11"/>
  <c r="G174" i="11" s="1"/>
  <c r="J171" i="11"/>
  <c r="K171" i="11" s="1"/>
  <c r="H189" i="11"/>
  <c r="I189" i="11" s="1"/>
  <c r="J178" i="11"/>
  <c r="K178" i="11" s="1"/>
  <c r="F172" i="11"/>
  <c r="G172" i="11" s="1"/>
  <c r="F182" i="11"/>
  <c r="G182" i="11" s="1"/>
  <c r="L178" i="11"/>
  <c r="M178" i="11" s="1"/>
  <c r="D189" i="11"/>
  <c r="E189" i="11" s="1"/>
  <c r="D178" i="11"/>
  <c r="H191" i="11"/>
  <c r="I191" i="11" s="1"/>
  <c r="L189" i="11"/>
  <c r="M189" i="11" s="1"/>
  <c r="J190" i="11"/>
  <c r="K190" i="11" s="1"/>
  <c r="D190" i="11"/>
  <c r="E190" i="11" s="1"/>
  <c r="J191" i="11"/>
  <c r="K191" i="11" s="1"/>
  <c r="H177" i="11"/>
  <c r="I177" i="11" s="1"/>
  <c r="C181" i="11"/>
  <c r="J189" i="11"/>
  <c r="K189" i="11" s="1"/>
  <c r="B206" i="11"/>
  <c r="B15" i="11"/>
  <c r="C155" i="11"/>
  <c r="J156" i="11"/>
  <c r="K156" i="11" s="1"/>
  <c r="D156" i="11"/>
  <c r="E156" i="11" s="1"/>
  <c r="F156" i="11"/>
  <c r="G156" i="11" s="1"/>
  <c r="H156" i="11"/>
  <c r="I156" i="11" s="1"/>
  <c r="L156" i="11"/>
  <c r="C164" i="11"/>
  <c r="C157" i="11"/>
  <c r="C158" i="11"/>
  <c r="C156" i="11"/>
  <c r="C162" i="11"/>
  <c r="C161" i="11"/>
  <c r="C163" i="11"/>
  <c r="C160" i="11"/>
  <c r="E143" i="11"/>
  <c r="I143" i="11"/>
  <c r="B149" i="11"/>
  <c r="C143" i="11" s="1"/>
  <c r="F144" i="11"/>
  <c r="G144" i="11" s="1"/>
  <c r="H144" i="11"/>
  <c r="I144" i="11" s="1"/>
  <c r="D148" i="11"/>
  <c r="F146" i="11"/>
  <c r="G146" i="11" s="1"/>
  <c r="H146" i="11"/>
  <c r="I146" i="11" s="1"/>
  <c r="J146" i="11"/>
  <c r="K146" i="11" s="1"/>
  <c r="D146" i="11"/>
  <c r="L146" i="11"/>
  <c r="M146" i="11" s="1"/>
  <c r="J147" i="11"/>
  <c r="K147" i="11" s="1"/>
  <c r="F148" i="11"/>
  <c r="G148" i="11" s="1"/>
  <c r="F147" i="11"/>
  <c r="G147" i="11" s="1"/>
  <c r="L143" i="11"/>
  <c r="M143" i="11" s="1"/>
  <c r="N144" i="11"/>
  <c r="O144" i="11" s="1"/>
  <c r="D135" i="11"/>
  <c r="E133" i="11"/>
  <c r="J136" i="11"/>
  <c r="K136" i="11" s="1"/>
  <c r="H135" i="11"/>
  <c r="I135" i="11" s="1"/>
  <c r="L135" i="11"/>
  <c r="M135" i="11" s="1"/>
  <c r="L13" i="11"/>
  <c r="M13" i="11" s="1"/>
  <c r="C132" i="11"/>
  <c r="F136" i="11"/>
  <c r="G136" i="11" s="1"/>
  <c r="F135" i="11"/>
  <c r="G135" i="11" s="1"/>
  <c r="L136" i="11"/>
  <c r="M136" i="11" s="1"/>
  <c r="C136" i="11"/>
  <c r="D136" i="11"/>
  <c r="C135" i="11"/>
  <c r="C133" i="11"/>
  <c r="E134" i="11"/>
  <c r="C134" i="11"/>
  <c r="H113" i="11"/>
  <c r="I113" i="11" s="1"/>
  <c r="D109" i="11"/>
  <c r="L116" i="11"/>
  <c r="M116" i="11" s="1"/>
  <c r="J121" i="11"/>
  <c r="K121" i="11" s="1"/>
  <c r="L121" i="11"/>
  <c r="M121" i="11" s="1"/>
  <c r="L109" i="11"/>
  <c r="M109" i="11" s="1"/>
  <c r="F122" i="11"/>
  <c r="H123" i="11"/>
  <c r="I123" i="11" s="1"/>
  <c r="F120" i="11"/>
  <c r="G120" i="11" s="1"/>
  <c r="F109" i="11"/>
  <c r="G109" i="11" s="1"/>
  <c r="F121" i="11"/>
  <c r="G121" i="11" s="1"/>
  <c r="J113" i="11"/>
  <c r="K113" i="11" s="1"/>
  <c r="H109" i="11"/>
  <c r="I109" i="11" s="1"/>
  <c r="F103" i="11"/>
  <c r="G103" i="11" s="1"/>
  <c r="D121" i="11"/>
  <c r="E121" i="11" s="1"/>
  <c r="L119" i="11"/>
  <c r="M119" i="11" s="1"/>
  <c r="L113" i="11"/>
  <c r="M113" i="11" s="1"/>
  <c r="D119" i="11"/>
  <c r="E119" i="11" s="1"/>
  <c r="F119" i="11"/>
  <c r="G119" i="11" s="1"/>
  <c r="D103" i="11"/>
  <c r="J110" i="11"/>
  <c r="K110" i="11" s="1"/>
  <c r="D108" i="11"/>
  <c r="H112" i="11"/>
  <c r="I112" i="11" s="1"/>
  <c r="D122" i="11"/>
  <c r="E122" i="11" s="1"/>
  <c r="H120" i="11"/>
  <c r="I120" i="11" s="1"/>
  <c r="L108" i="11"/>
  <c r="M108" i="11" s="1"/>
  <c r="C118" i="11"/>
  <c r="C103" i="11"/>
  <c r="C112" i="11"/>
  <c r="C110" i="11"/>
  <c r="J119" i="11"/>
  <c r="K119" i="11" s="1"/>
  <c r="D113" i="11"/>
  <c r="H121" i="11"/>
  <c r="I121" i="11" s="1"/>
  <c r="F116" i="11"/>
  <c r="G116" i="11" s="1"/>
  <c r="L122" i="11"/>
  <c r="M122" i="11" s="1"/>
  <c r="B203" i="11"/>
  <c r="B12" i="11"/>
  <c r="F123" i="11"/>
  <c r="G123" i="11" s="1"/>
  <c r="J108" i="11"/>
  <c r="K108" i="11" s="1"/>
  <c r="C109" i="11"/>
  <c r="D116" i="11"/>
  <c r="E116" i="11" s="1"/>
  <c r="L123" i="11"/>
  <c r="M123" i="11" s="1"/>
  <c r="C104" i="11"/>
  <c r="C115" i="11"/>
  <c r="J123" i="11"/>
  <c r="K123" i="11" s="1"/>
  <c r="D123" i="11"/>
  <c r="E123" i="11" s="1"/>
  <c r="J122" i="11"/>
  <c r="K122" i="11" s="1"/>
  <c r="C113" i="11"/>
  <c r="C108" i="11"/>
  <c r="C119" i="11"/>
  <c r="C111" i="11"/>
  <c r="C116" i="11"/>
  <c r="C114" i="11"/>
  <c r="C124" i="11"/>
  <c r="C122" i="11"/>
  <c r="C107" i="11"/>
  <c r="L107" i="11"/>
  <c r="M107" i="11" s="1"/>
  <c r="H119" i="11"/>
  <c r="I119" i="11" s="1"/>
  <c r="J116" i="11"/>
  <c r="K116" i="11" s="1"/>
  <c r="H108" i="11"/>
  <c r="I108" i="11" s="1"/>
  <c r="D120" i="11"/>
  <c r="E120" i="11" s="1"/>
  <c r="F125" i="11"/>
  <c r="G125" i="11" s="1"/>
  <c r="J125" i="11"/>
  <c r="K125" i="11" s="1"/>
  <c r="H125" i="11"/>
  <c r="I125" i="11" s="1"/>
  <c r="L125" i="11"/>
  <c r="M125" i="11" s="1"/>
  <c r="D125" i="11"/>
  <c r="C117" i="11"/>
  <c r="C121" i="11"/>
  <c r="C105" i="11"/>
  <c r="E103" i="11"/>
  <c r="J103" i="11"/>
  <c r="K103" i="11" s="1"/>
  <c r="N117" i="11"/>
  <c r="O117" i="11" s="1"/>
  <c r="C123" i="11"/>
  <c r="H116" i="11"/>
  <c r="I116" i="11" s="1"/>
  <c r="H122" i="11"/>
  <c r="I122" i="11" s="1"/>
  <c r="C106" i="11"/>
  <c r="L103" i="11"/>
  <c r="M103" i="11" s="1"/>
  <c r="C125" i="11"/>
  <c r="L91" i="11"/>
  <c r="M91" i="11" s="1"/>
  <c r="D79" i="11"/>
  <c r="E79" i="11" s="1"/>
  <c r="D85" i="11"/>
  <c r="E85" i="11" s="1"/>
  <c r="F85" i="11"/>
  <c r="G85" i="11" s="1"/>
  <c r="H89" i="11"/>
  <c r="I89" i="11" s="1"/>
  <c r="L85" i="11"/>
  <c r="M85" i="11" s="1"/>
  <c r="D95" i="11"/>
  <c r="E95" i="11" s="1"/>
  <c r="C90" i="11"/>
  <c r="F91" i="11"/>
  <c r="G91" i="11" s="1"/>
  <c r="J79" i="11"/>
  <c r="K79" i="11" s="1"/>
  <c r="J95" i="11"/>
  <c r="K95" i="11" s="1"/>
  <c r="L86" i="11"/>
  <c r="M86" i="11" s="1"/>
  <c r="F95" i="11"/>
  <c r="G95" i="11" s="1"/>
  <c r="N81" i="11"/>
  <c r="O81" i="11" s="1"/>
  <c r="J85" i="11"/>
  <c r="K85" i="11" s="1"/>
  <c r="H95" i="11"/>
  <c r="I95" i="11" s="1"/>
  <c r="L95" i="11"/>
  <c r="M95" i="11" s="1"/>
  <c r="E81" i="11"/>
  <c r="F90" i="11"/>
  <c r="G90" i="11" s="1"/>
  <c r="J80" i="11"/>
  <c r="K80" i="11" s="1"/>
  <c r="H85" i="11"/>
  <c r="I85" i="11" s="1"/>
  <c r="L79" i="11"/>
  <c r="M79" i="11" s="1"/>
  <c r="D82" i="11"/>
  <c r="E82" i="11" s="1"/>
  <c r="J83" i="11"/>
  <c r="K83" i="11" s="1"/>
  <c r="L83" i="11"/>
  <c r="M83" i="11" s="1"/>
  <c r="H83" i="11"/>
  <c r="H91" i="11"/>
  <c r="I91" i="11" s="1"/>
  <c r="D91" i="11"/>
  <c r="J91" i="11"/>
  <c r="K91" i="11" s="1"/>
  <c r="C85" i="11"/>
  <c r="C87" i="11"/>
  <c r="C93" i="11"/>
  <c r="C97" i="11"/>
  <c r="C79" i="11"/>
  <c r="C83" i="11"/>
  <c r="C86" i="11"/>
  <c r="C81" i="11"/>
  <c r="C94" i="11"/>
  <c r="C96" i="11"/>
  <c r="C95" i="11"/>
  <c r="C88" i="11"/>
  <c r="C82" i="11"/>
  <c r="C89" i="11"/>
  <c r="C80" i="11"/>
  <c r="C91" i="11"/>
  <c r="B11" i="11"/>
  <c r="B202" i="11"/>
  <c r="C92" i="11"/>
  <c r="F72" i="11"/>
  <c r="G72" i="11" s="1"/>
  <c r="L60" i="11"/>
  <c r="M60" i="11" s="1"/>
  <c r="H62" i="11"/>
  <c r="I62" i="11" s="1"/>
  <c r="D64" i="11"/>
  <c r="E64" i="11" s="1"/>
  <c r="F57" i="11"/>
  <c r="G57" i="11" s="1"/>
  <c r="H10" i="11"/>
  <c r="I10" i="11" s="1"/>
  <c r="L66" i="11"/>
  <c r="M66" i="11" s="1"/>
  <c r="J10" i="11"/>
  <c r="K10" i="11" s="1"/>
  <c r="D56" i="11"/>
  <c r="E56" i="11" s="1"/>
  <c r="H66" i="11"/>
  <c r="I66" i="11" s="1"/>
  <c r="H69" i="11"/>
  <c r="I69" i="11" s="1"/>
  <c r="C58" i="11"/>
  <c r="B201" i="11"/>
  <c r="L46" i="11"/>
  <c r="M46" i="11" s="1"/>
  <c r="D46" i="11"/>
  <c r="E46" i="11" s="1"/>
  <c r="L39" i="11"/>
  <c r="M39" i="11" s="1"/>
  <c r="B9" i="11"/>
  <c r="F46" i="11"/>
  <c r="G46" i="11" s="1"/>
  <c r="L42" i="11"/>
  <c r="M42" i="11" s="1"/>
  <c r="H46" i="11"/>
  <c r="I46" i="11" s="1"/>
  <c r="J44" i="11"/>
  <c r="K44" i="11" s="1"/>
  <c r="J42" i="11"/>
  <c r="K42" i="11" s="1"/>
  <c r="D47" i="11"/>
  <c r="E47" i="11" s="1"/>
  <c r="F42" i="11"/>
  <c r="G42" i="11" s="1"/>
  <c r="B50" i="11"/>
  <c r="D44" i="11"/>
  <c r="E44" i="11" s="1"/>
  <c r="J40" i="11"/>
  <c r="K40" i="11" s="1"/>
  <c r="L29" i="11"/>
  <c r="M29" i="11" s="1"/>
  <c r="K203" i="11"/>
  <c r="I205" i="11"/>
  <c r="K204" i="11"/>
  <c r="J33" i="11"/>
  <c r="K33" i="11" s="1"/>
  <c r="K202" i="11"/>
  <c r="F29" i="11"/>
  <c r="G29" i="11" s="1"/>
  <c r="D28" i="11"/>
  <c r="E28" i="11" s="1"/>
  <c r="K199" i="11"/>
  <c r="J26" i="11"/>
  <c r="K26" i="11" s="1"/>
  <c r="I201" i="11"/>
  <c r="D29" i="11"/>
  <c r="E29" i="11" s="1"/>
  <c r="L26" i="11"/>
  <c r="M26" i="11" s="1"/>
  <c r="F208" i="11"/>
  <c r="G202" i="11" s="1"/>
  <c r="K201" i="11"/>
  <c r="K207" i="11"/>
  <c r="K200" i="11"/>
  <c r="K205" i="11"/>
  <c r="H29" i="11"/>
  <c r="I29" i="11" s="1"/>
  <c r="N199" i="11"/>
  <c r="J29" i="11"/>
  <c r="K29" i="11" s="1"/>
  <c r="F33" i="11"/>
  <c r="G33" i="11" s="1"/>
  <c r="B221" i="1"/>
  <c r="I207" i="11"/>
  <c r="I200" i="11"/>
  <c r="M203" i="11"/>
  <c r="M200" i="11"/>
  <c r="L33" i="11"/>
  <c r="M33" i="11" s="1"/>
  <c r="H33" i="11"/>
  <c r="I33" i="11" s="1"/>
  <c r="D33" i="11"/>
  <c r="E33" i="11" s="1"/>
  <c r="S85" i="1"/>
  <c r="D27" i="11" s="1"/>
  <c r="E27" i="11" s="1"/>
  <c r="R85" i="1"/>
  <c r="H26" i="11"/>
  <c r="I26" i="11" s="1"/>
  <c r="N30" i="11"/>
  <c r="O30" i="11" s="1"/>
  <c r="D142" i="10"/>
  <c r="I203" i="11"/>
  <c r="I204" i="11"/>
  <c r="I202" i="11"/>
  <c r="D26" i="11"/>
  <c r="E26" i="11" s="1"/>
  <c r="I199" i="11"/>
  <c r="M206" i="11"/>
  <c r="M202" i="11"/>
  <c r="M204" i="11"/>
  <c r="M205" i="11"/>
  <c r="M201" i="11"/>
  <c r="M207" i="11"/>
  <c r="F26" i="11"/>
  <c r="G26" i="11" s="1"/>
  <c r="B199" i="11"/>
  <c r="B13" i="11"/>
  <c r="B204" i="11"/>
  <c r="C61" i="11"/>
  <c r="C72" i="11"/>
  <c r="C64" i="11"/>
  <c r="C63" i="11"/>
  <c r="C66" i="11"/>
  <c r="C62" i="11"/>
  <c r="C59" i="11"/>
  <c r="C60" i="11"/>
  <c r="C56" i="11"/>
  <c r="C67" i="11"/>
  <c r="C70" i="11"/>
  <c r="C57" i="11"/>
  <c r="C69" i="11"/>
  <c r="C71" i="11"/>
  <c r="C68" i="11"/>
  <c r="B34" i="11"/>
  <c r="M159" i="11"/>
  <c r="E148" i="11"/>
  <c r="J28" i="11"/>
  <c r="K28" i="11" s="1"/>
  <c r="F28" i="11"/>
  <c r="G28" i="11" s="1"/>
  <c r="L28" i="11"/>
  <c r="M28" i="11" s="1"/>
  <c r="H28" i="11"/>
  <c r="I28" i="11" s="1"/>
  <c r="J69" i="11"/>
  <c r="K69" i="11" s="1"/>
  <c r="L69" i="11"/>
  <c r="M69" i="11" s="1"/>
  <c r="D69" i="11"/>
  <c r="L62" i="11"/>
  <c r="M62" i="11" s="1"/>
  <c r="F56" i="11"/>
  <c r="H44" i="11"/>
  <c r="I44" i="11" s="1"/>
  <c r="L44" i="11"/>
  <c r="M44" i="11" s="1"/>
  <c r="J94" i="11"/>
  <c r="K94" i="11" s="1"/>
  <c r="H94" i="11"/>
  <c r="I94" i="11" s="1"/>
  <c r="D94" i="11"/>
  <c r="L94" i="11"/>
  <c r="M94" i="11" s="1"/>
  <c r="F94" i="11"/>
  <c r="G94" i="11" s="1"/>
  <c r="L72" i="11"/>
  <c r="M72" i="11" s="1"/>
  <c r="D66" i="11"/>
  <c r="L64" i="11"/>
  <c r="M64" i="11" s="1"/>
  <c r="F10" i="11"/>
  <c r="G10" i="11" s="1"/>
  <c r="H158" i="11"/>
  <c r="I158" i="11" s="1"/>
  <c r="J158" i="11"/>
  <c r="K158" i="11" s="1"/>
  <c r="F158" i="11"/>
  <c r="G158" i="11" s="1"/>
  <c r="F62" i="11"/>
  <c r="G62" i="11" s="1"/>
  <c r="D62" i="11"/>
  <c r="H84" i="11"/>
  <c r="I84" i="11" s="1"/>
  <c r="F84" i="11"/>
  <c r="G84" i="11" s="1"/>
  <c r="J84" i="11"/>
  <c r="K84" i="11" s="1"/>
  <c r="L111" i="11"/>
  <c r="M111" i="11" s="1"/>
  <c r="D111" i="11"/>
  <c r="H111" i="11"/>
  <c r="I111" i="11" s="1"/>
  <c r="J111" i="11"/>
  <c r="K111" i="11" s="1"/>
  <c r="F14" i="11"/>
  <c r="G14" i="11" s="1"/>
  <c r="D14" i="11"/>
  <c r="J14" i="11"/>
  <c r="K14" i="11" s="1"/>
  <c r="H14" i="11"/>
  <c r="I14" i="11" s="1"/>
  <c r="L14" i="11"/>
  <c r="M14" i="11" s="1"/>
  <c r="F145" i="11"/>
  <c r="D145" i="11"/>
  <c r="L148" i="11"/>
  <c r="M148" i="11" s="1"/>
  <c r="J148" i="11"/>
  <c r="K148" i="11" s="1"/>
  <c r="E108" i="11"/>
  <c r="H155" i="11"/>
  <c r="H15" i="11"/>
  <c r="F155" i="11"/>
  <c r="L155" i="11"/>
  <c r="D15" i="11"/>
  <c r="F15" i="11"/>
  <c r="G15" i="11" s="1"/>
  <c r="D155" i="11"/>
  <c r="L15" i="11"/>
  <c r="M15" i="11" s="1"/>
  <c r="J15" i="11"/>
  <c r="K15" i="11" s="1"/>
  <c r="J155" i="11"/>
  <c r="F162" i="11"/>
  <c r="G162" i="11" s="1"/>
  <c r="J162" i="11"/>
  <c r="K162" i="11" s="1"/>
  <c r="D179" i="11"/>
  <c r="F179" i="11"/>
  <c r="G179" i="11" s="1"/>
  <c r="J179" i="11"/>
  <c r="K179" i="11" s="1"/>
  <c r="L179" i="11"/>
  <c r="M179" i="11" s="1"/>
  <c r="H179" i="11"/>
  <c r="I179" i="11" s="1"/>
  <c r="D171" i="11"/>
  <c r="D162" i="11"/>
  <c r="E162" i="11" s="1"/>
  <c r="E175" i="11"/>
  <c r="H80" i="11"/>
  <c r="I80" i="11" s="1"/>
  <c r="F86" i="11"/>
  <c r="G86" i="11" s="1"/>
  <c r="D86" i="11"/>
  <c r="H11" i="11"/>
  <c r="F82" i="11"/>
  <c r="G82" i="11" s="1"/>
  <c r="J90" i="11"/>
  <c r="K90" i="11" s="1"/>
  <c r="H72" i="11"/>
  <c r="I72" i="11" s="1"/>
  <c r="J173" i="11"/>
  <c r="K173" i="11" s="1"/>
  <c r="F173" i="11"/>
  <c r="G173" i="11" s="1"/>
  <c r="D173" i="11"/>
  <c r="L173" i="11"/>
  <c r="M173" i="11" s="1"/>
  <c r="H173" i="11"/>
  <c r="I173" i="11" s="1"/>
  <c r="H188" i="11"/>
  <c r="I188" i="11" s="1"/>
  <c r="D188" i="11"/>
  <c r="F188" i="11"/>
  <c r="G188" i="11" s="1"/>
  <c r="J188" i="11"/>
  <c r="K188" i="11" s="1"/>
  <c r="L188" i="11"/>
  <c r="M188" i="11" s="1"/>
  <c r="L193" i="11"/>
  <c r="M193" i="11" s="1"/>
  <c r="J193" i="11"/>
  <c r="K193" i="11" s="1"/>
  <c r="I67" i="11"/>
  <c r="D10" i="11"/>
  <c r="J49" i="11"/>
  <c r="K49" i="11" s="1"/>
  <c r="F49" i="11"/>
  <c r="G49" i="11" s="1"/>
  <c r="D49" i="11"/>
  <c r="H49" i="11"/>
  <c r="I49" i="11" s="1"/>
  <c r="L49" i="11"/>
  <c r="M49" i="11" s="1"/>
  <c r="E42" i="11"/>
  <c r="H41" i="11"/>
  <c r="I41" i="11" s="1"/>
  <c r="J41" i="11"/>
  <c r="K41" i="11" s="1"/>
  <c r="D41" i="11"/>
  <c r="L41" i="11"/>
  <c r="M41" i="11" s="1"/>
  <c r="F41" i="11"/>
  <c r="G41" i="11" s="1"/>
  <c r="L87" i="11"/>
  <c r="M87" i="11" s="1"/>
  <c r="D87" i="11"/>
  <c r="J87" i="11"/>
  <c r="K87" i="11" s="1"/>
  <c r="F87" i="11"/>
  <c r="G87" i="11" s="1"/>
  <c r="H87" i="11"/>
  <c r="I87" i="11" s="1"/>
  <c r="F185" i="11"/>
  <c r="G185" i="11" s="1"/>
  <c r="L185" i="11"/>
  <c r="M185" i="11" s="1"/>
  <c r="D185" i="11"/>
  <c r="H185" i="11"/>
  <c r="I185" i="11" s="1"/>
  <c r="J185" i="11"/>
  <c r="K185" i="11" s="1"/>
  <c r="J66" i="11"/>
  <c r="K66" i="11" s="1"/>
  <c r="F66" i="11"/>
  <c r="G66" i="11" s="1"/>
  <c r="H64" i="11"/>
  <c r="I64" i="11" s="1"/>
  <c r="G122" i="11"/>
  <c r="H27" i="11"/>
  <c r="I27" i="11" s="1"/>
  <c r="L27" i="11"/>
  <c r="M27" i="11" s="1"/>
  <c r="F27" i="11"/>
  <c r="G27" i="11" s="1"/>
  <c r="H70" i="11"/>
  <c r="I70" i="11" s="1"/>
  <c r="L70" i="11"/>
  <c r="M70" i="11" s="1"/>
  <c r="F70" i="11"/>
  <c r="G70" i="11" s="1"/>
  <c r="J70" i="11"/>
  <c r="K70" i="11" s="1"/>
  <c r="D70" i="11"/>
  <c r="F118" i="11"/>
  <c r="G118" i="11" s="1"/>
  <c r="H118" i="11"/>
  <c r="I118" i="11" s="1"/>
  <c r="J118" i="11"/>
  <c r="K118" i="11" s="1"/>
  <c r="D118" i="11"/>
  <c r="L118" i="11"/>
  <c r="M118" i="11" s="1"/>
  <c r="F110" i="11"/>
  <c r="G110" i="11" s="1"/>
  <c r="L110" i="11"/>
  <c r="M110" i="11" s="1"/>
  <c r="D110" i="11"/>
  <c r="H110" i="11"/>
  <c r="I110" i="11" s="1"/>
  <c r="F111" i="11"/>
  <c r="G111" i="11" s="1"/>
  <c r="L145" i="11"/>
  <c r="L120" i="11"/>
  <c r="M120" i="11" s="1"/>
  <c r="J161" i="11"/>
  <c r="K161" i="11" s="1"/>
  <c r="H161" i="11"/>
  <c r="I161" i="11" s="1"/>
  <c r="D161" i="11"/>
  <c r="E161" i="11" s="1"/>
  <c r="L161" i="11"/>
  <c r="F161" i="11"/>
  <c r="G161" i="11" s="1"/>
  <c r="F192" i="11"/>
  <c r="G192" i="11" s="1"/>
  <c r="J192" i="11"/>
  <c r="K192" i="11" s="1"/>
  <c r="L192" i="11"/>
  <c r="M192" i="11" s="1"/>
  <c r="D192" i="11"/>
  <c r="H192" i="11"/>
  <c r="I192" i="11" s="1"/>
  <c r="J120" i="11"/>
  <c r="K120" i="11" s="1"/>
  <c r="N112" i="11"/>
  <c r="O112" i="11" s="1"/>
  <c r="E112" i="11"/>
  <c r="H171" i="11"/>
  <c r="L182" i="11"/>
  <c r="M182" i="11" s="1"/>
  <c r="H162" i="11"/>
  <c r="I162" i="11" s="1"/>
  <c r="D158" i="11"/>
  <c r="E158" i="11" s="1"/>
  <c r="N157" i="11"/>
  <c r="O157" i="11" s="1"/>
  <c r="M157" i="11"/>
  <c r="L82" i="11"/>
  <c r="M82" i="11" s="1"/>
  <c r="F79" i="11"/>
  <c r="D84" i="11"/>
  <c r="D11" i="11"/>
  <c r="H90" i="11"/>
  <c r="I90" i="11" s="1"/>
  <c r="J82" i="11"/>
  <c r="K82" i="11" s="1"/>
  <c r="H82" i="11"/>
  <c r="I82" i="11" s="1"/>
  <c r="D58" i="11"/>
  <c r="L58" i="11"/>
  <c r="M58" i="11" s="1"/>
  <c r="H58" i="11"/>
  <c r="I58" i="11" s="1"/>
  <c r="J58" i="11"/>
  <c r="K58" i="11" s="1"/>
  <c r="F40" i="11"/>
  <c r="G40" i="11" s="1"/>
  <c r="H40" i="11"/>
  <c r="I40" i="11" s="1"/>
  <c r="L63" i="11"/>
  <c r="M63" i="11" s="1"/>
  <c r="D63" i="11"/>
  <c r="J61" i="11"/>
  <c r="K61" i="11" s="1"/>
  <c r="F61" i="11"/>
  <c r="G61" i="11" s="1"/>
  <c r="L61" i="11"/>
  <c r="M61" i="11" s="1"/>
  <c r="D61" i="11"/>
  <c r="H61" i="11"/>
  <c r="I61" i="11" s="1"/>
  <c r="D106" i="11"/>
  <c r="L106" i="11"/>
  <c r="M106" i="11" s="1"/>
  <c r="H106" i="11"/>
  <c r="I106" i="11" s="1"/>
  <c r="J106" i="11"/>
  <c r="K106" i="11" s="1"/>
  <c r="F106" i="11"/>
  <c r="G106" i="11" s="1"/>
  <c r="J104" i="11"/>
  <c r="F104" i="11"/>
  <c r="D104" i="11"/>
  <c r="D12" i="11"/>
  <c r="J12" i="11"/>
  <c r="H104" i="11"/>
  <c r="H12" i="11"/>
  <c r="I12" i="11" s="1"/>
  <c r="L104" i="11"/>
  <c r="L12" i="11"/>
  <c r="F12" i="11"/>
  <c r="J124" i="11"/>
  <c r="K124" i="11" s="1"/>
  <c r="L124" i="11"/>
  <c r="M124" i="11" s="1"/>
  <c r="F124" i="11"/>
  <c r="G124" i="11" s="1"/>
  <c r="D124" i="11"/>
  <c r="F159" i="11"/>
  <c r="G159" i="11" s="1"/>
  <c r="J159" i="11"/>
  <c r="K159" i="11" s="1"/>
  <c r="H159" i="11"/>
  <c r="I159" i="11" s="1"/>
  <c r="F186" i="11"/>
  <c r="G186" i="11" s="1"/>
  <c r="D186" i="11"/>
  <c r="J186" i="11"/>
  <c r="K186" i="11" s="1"/>
  <c r="H186" i="11"/>
  <c r="I186" i="11" s="1"/>
  <c r="L186" i="11"/>
  <c r="M186" i="11" s="1"/>
  <c r="D132" i="11"/>
  <c r="F132" i="11"/>
  <c r="H132" i="11"/>
  <c r="J132" i="11"/>
  <c r="D13" i="11"/>
  <c r="H13" i="11"/>
  <c r="I13" i="11" s="1"/>
  <c r="F13" i="11"/>
  <c r="G13" i="11" s="1"/>
  <c r="J13" i="11"/>
  <c r="K13" i="11" s="1"/>
  <c r="N105" i="11"/>
  <c r="O105" i="11" s="1"/>
  <c r="E105" i="11"/>
  <c r="D72" i="11"/>
  <c r="L57" i="11"/>
  <c r="M57" i="11" s="1"/>
  <c r="L56" i="11"/>
  <c r="D40" i="11"/>
  <c r="D65" i="11"/>
  <c r="F65" i="11"/>
  <c r="G65" i="11" s="1"/>
  <c r="L65" i="11"/>
  <c r="M65" i="11" s="1"/>
  <c r="J65" i="11"/>
  <c r="K65" i="11" s="1"/>
  <c r="H65" i="11"/>
  <c r="I65" i="11" s="1"/>
  <c r="J88" i="11"/>
  <c r="K88" i="11" s="1"/>
  <c r="D88" i="11"/>
  <c r="L88" i="11"/>
  <c r="M88" i="11" s="1"/>
  <c r="F88" i="11"/>
  <c r="G88" i="11" s="1"/>
  <c r="F80" i="11"/>
  <c r="G80" i="11" s="1"/>
  <c r="L80" i="11"/>
  <c r="D24" i="11"/>
  <c r="H24" i="11"/>
  <c r="L24" i="11"/>
  <c r="F24" i="11"/>
  <c r="J24" i="11"/>
  <c r="F69" i="11"/>
  <c r="G69" i="11" s="1"/>
  <c r="H114" i="11"/>
  <c r="I114" i="11" s="1"/>
  <c r="D114" i="11"/>
  <c r="J114" i="11"/>
  <c r="K114" i="11" s="1"/>
  <c r="L114" i="11"/>
  <c r="M114" i="11" s="1"/>
  <c r="F114" i="11"/>
  <c r="G114" i="11" s="1"/>
  <c r="H107" i="11"/>
  <c r="I107" i="11" s="1"/>
  <c r="F107" i="11"/>
  <c r="G107" i="11" s="1"/>
  <c r="I145" i="11"/>
  <c r="H148" i="11"/>
  <c r="I148" i="11" s="1"/>
  <c r="J107" i="11"/>
  <c r="K107" i="11" s="1"/>
  <c r="H176" i="11"/>
  <c r="I176" i="11" s="1"/>
  <c r="D176" i="11"/>
  <c r="J176" i="11"/>
  <c r="K176" i="11" s="1"/>
  <c r="F176" i="11"/>
  <c r="G176" i="11" s="1"/>
  <c r="L176" i="11"/>
  <c r="M176" i="11" s="1"/>
  <c r="L162" i="11"/>
  <c r="F193" i="11"/>
  <c r="G193" i="11" s="1"/>
  <c r="L11" i="11"/>
  <c r="H79" i="11"/>
  <c r="L84" i="11"/>
  <c r="M84" i="11" s="1"/>
  <c r="F89" i="11"/>
  <c r="G89" i="11" s="1"/>
  <c r="J89" i="11"/>
  <c r="K89" i="11" s="1"/>
  <c r="D89" i="11"/>
  <c r="L89" i="11"/>
  <c r="M89" i="11" s="1"/>
  <c r="H180" i="11"/>
  <c r="I180" i="11" s="1"/>
  <c r="L180" i="11"/>
  <c r="M180" i="11" s="1"/>
  <c r="J180" i="11"/>
  <c r="K180" i="11" s="1"/>
  <c r="D180" i="11"/>
  <c r="F180" i="11"/>
  <c r="G180" i="11" s="1"/>
  <c r="D25" i="11"/>
  <c r="H8" i="11"/>
  <c r="L25" i="11"/>
  <c r="M25" i="11" s="1"/>
  <c r="L8" i="11"/>
  <c r="H25" i="11"/>
  <c r="I25" i="11" s="1"/>
  <c r="F8" i="11"/>
  <c r="F25" i="11"/>
  <c r="G25" i="11" s="1"/>
  <c r="D8" i="11"/>
  <c r="J8" i="11"/>
  <c r="J25" i="11"/>
  <c r="K25" i="11" s="1"/>
  <c r="D181" i="11"/>
  <c r="J181" i="11"/>
  <c r="K181" i="11" s="1"/>
  <c r="H181" i="11"/>
  <c r="I181" i="11" s="1"/>
  <c r="L181" i="11"/>
  <c r="M181" i="11" s="1"/>
  <c r="F181" i="11"/>
  <c r="G181" i="11" s="1"/>
  <c r="H160" i="11"/>
  <c r="I160" i="11" s="1"/>
  <c r="D160" i="11"/>
  <c r="E160" i="11" s="1"/>
  <c r="F160" i="11"/>
  <c r="G160" i="11" s="1"/>
  <c r="J160" i="11"/>
  <c r="K160" i="11" s="1"/>
  <c r="L160" i="11"/>
  <c r="H187" i="11"/>
  <c r="I187" i="11" s="1"/>
  <c r="J187" i="11"/>
  <c r="K187" i="11" s="1"/>
  <c r="L187" i="11"/>
  <c r="M187" i="11" s="1"/>
  <c r="J182" i="11"/>
  <c r="K182" i="11" s="1"/>
  <c r="H182" i="11"/>
  <c r="I182" i="11" s="1"/>
  <c r="N205" i="11"/>
  <c r="N208" i="11" s="1"/>
  <c r="D208" i="11"/>
  <c r="E205" i="11" s="1"/>
  <c r="L31" i="11"/>
  <c r="M31" i="11" s="1"/>
  <c r="H31" i="11"/>
  <c r="I31" i="11" s="1"/>
  <c r="D31" i="11"/>
  <c r="F31" i="11"/>
  <c r="G31" i="11" s="1"/>
  <c r="J31" i="11"/>
  <c r="K31" i="11" s="1"/>
  <c r="J63" i="11"/>
  <c r="K63" i="11" s="1"/>
  <c r="D59" i="11"/>
  <c r="F59" i="11"/>
  <c r="G59" i="11" s="1"/>
  <c r="H59" i="11"/>
  <c r="I59" i="11" s="1"/>
  <c r="L59" i="11"/>
  <c r="M59" i="11" s="1"/>
  <c r="J59" i="11"/>
  <c r="K59" i="11" s="1"/>
  <c r="J45" i="11"/>
  <c r="K45" i="11" s="1"/>
  <c r="H45" i="11"/>
  <c r="I45" i="11" s="1"/>
  <c r="F45" i="11"/>
  <c r="G45" i="11" s="1"/>
  <c r="L45" i="11"/>
  <c r="M45" i="11" s="1"/>
  <c r="D45" i="11"/>
  <c r="J86" i="11"/>
  <c r="H86" i="11"/>
  <c r="I86" i="11" s="1"/>
  <c r="H68" i="11"/>
  <c r="I68" i="11" s="1"/>
  <c r="J68" i="11"/>
  <c r="K68" i="11" s="1"/>
  <c r="F68" i="11"/>
  <c r="G68" i="11" s="1"/>
  <c r="D68" i="11"/>
  <c r="L68" i="11"/>
  <c r="M68" i="11" s="1"/>
  <c r="H92" i="11"/>
  <c r="I92" i="11" s="1"/>
  <c r="J92" i="11"/>
  <c r="K92" i="11" s="1"/>
  <c r="F92" i="11"/>
  <c r="G92" i="11" s="1"/>
  <c r="D92" i="11"/>
  <c r="L92" i="11"/>
  <c r="M92" i="11" s="1"/>
  <c r="H60" i="11"/>
  <c r="I60" i="11" s="1"/>
  <c r="F60" i="11"/>
  <c r="G60" i="11" s="1"/>
  <c r="F93" i="11"/>
  <c r="G93" i="11" s="1"/>
  <c r="J93" i="11"/>
  <c r="K93" i="11" s="1"/>
  <c r="L93" i="11"/>
  <c r="M93" i="11" s="1"/>
  <c r="H93" i="11"/>
  <c r="I93" i="11" s="1"/>
  <c r="D93" i="11"/>
  <c r="J64" i="11"/>
  <c r="K64" i="11" s="1"/>
  <c r="H32" i="11"/>
  <c r="I32" i="11" s="1"/>
  <c r="L32" i="11"/>
  <c r="M32" i="11" s="1"/>
  <c r="D32" i="11"/>
  <c r="J32" i="11"/>
  <c r="K32" i="11" s="1"/>
  <c r="F32" i="11"/>
  <c r="G32" i="11" s="1"/>
  <c r="J137" i="11"/>
  <c r="K137" i="11" s="1"/>
  <c r="L137" i="11"/>
  <c r="M137" i="11" s="1"/>
  <c r="H137" i="11"/>
  <c r="I137" i="11" s="1"/>
  <c r="D137" i="11"/>
  <c r="F137" i="11"/>
  <c r="G137" i="11" s="1"/>
  <c r="L132" i="11"/>
  <c r="J72" i="11"/>
  <c r="K72" i="11" s="1"/>
  <c r="H47" i="11"/>
  <c r="I47" i="11" s="1"/>
  <c r="F47" i="11"/>
  <c r="G47" i="11" s="1"/>
  <c r="L47" i="11"/>
  <c r="M47" i="11" s="1"/>
  <c r="F63" i="11"/>
  <c r="G63" i="11" s="1"/>
  <c r="H57" i="11"/>
  <c r="I57" i="11" s="1"/>
  <c r="D60" i="11"/>
  <c r="D57" i="11"/>
  <c r="L10" i="11"/>
  <c r="M10" i="11" s="1"/>
  <c r="H56" i="11"/>
  <c r="J56" i="11"/>
  <c r="F64" i="11"/>
  <c r="G64" i="11" s="1"/>
  <c r="D147" i="11"/>
  <c r="L40" i="11"/>
  <c r="M40" i="11" s="1"/>
  <c r="F44" i="11"/>
  <c r="G44" i="11" s="1"/>
  <c r="D39" i="11"/>
  <c r="J39" i="11"/>
  <c r="H39" i="11"/>
  <c r="F39" i="11"/>
  <c r="F9" i="11"/>
  <c r="G9" i="11" s="1"/>
  <c r="D9" i="11"/>
  <c r="J9" i="11"/>
  <c r="K9" i="11" s="1"/>
  <c r="H9" i="11"/>
  <c r="I9" i="11" s="1"/>
  <c r="L9" i="11"/>
  <c r="M9" i="11" s="1"/>
  <c r="E71" i="11"/>
  <c r="J57" i="11"/>
  <c r="K57" i="11" s="1"/>
  <c r="J97" i="11"/>
  <c r="K97" i="11" s="1"/>
  <c r="D97" i="11"/>
  <c r="L97" i="11"/>
  <c r="M97" i="11" s="1"/>
  <c r="H97" i="11"/>
  <c r="I97" i="11" s="1"/>
  <c r="H124" i="11"/>
  <c r="I124" i="11" s="1"/>
  <c r="J145" i="11"/>
  <c r="E109" i="11"/>
  <c r="L147" i="11"/>
  <c r="M147" i="11" s="1"/>
  <c r="D107" i="11"/>
  <c r="L158" i="11"/>
  <c r="E113" i="11"/>
  <c r="J174" i="11"/>
  <c r="K174" i="11" s="1"/>
  <c r="L174" i="11"/>
  <c r="M174" i="11" s="1"/>
  <c r="D174" i="11"/>
  <c r="H174" i="11"/>
  <c r="I174" i="11" s="1"/>
  <c r="F171" i="11"/>
  <c r="L16" i="11"/>
  <c r="M16" i="11" s="1"/>
  <c r="L171" i="11"/>
  <c r="J16" i="11"/>
  <c r="K16" i="11" s="1"/>
  <c r="F16" i="11"/>
  <c r="G16" i="11" s="1"/>
  <c r="D16" i="11"/>
  <c r="H16" i="11"/>
  <c r="I16" i="11" s="1"/>
  <c r="M164" i="11"/>
  <c r="N164" i="11"/>
  <c r="O164" i="11" s="1"/>
  <c r="D182" i="11"/>
  <c r="M163" i="11"/>
  <c r="N163" i="11"/>
  <c r="O163" i="11" s="1"/>
  <c r="D159" i="11"/>
  <c r="E159" i="11" s="1"/>
  <c r="D193" i="11"/>
  <c r="H88" i="11"/>
  <c r="I88" i="11" s="1"/>
  <c r="F11" i="11"/>
  <c r="L90" i="11"/>
  <c r="M90" i="11" s="1"/>
  <c r="D80" i="11"/>
  <c r="N96" i="11"/>
  <c r="O96" i="11" s="1"/>
  <c r="E96" i="11"/>
  <c r="D90" i="11"/>
  <c r="D187" i="11"/>
  <c r="J11" i="11"/>
  <c r="N134" i="11" l="1"/>
  <c r="O134" i="11" s="1"/>
  <c r="G12" i="11"/>
  <c r="M12" i="11"/>
  <c r="K12" i="11"/>
  <c r="N71" i="11"/>
  <c r="O71" i="11" s="1"/>
  <c r="N67" i="11"/>
  <c r="O67" i="11" s="1"/>
  <c r="N135" i="11"/>
  <c r="O135" i="11" s="1"/>
  <c r="N191" i="11"/>
  <c r="O191" i="11" s="1"/>
  <c r="N184" i="11"/>
  <c r="O184" i="11" s="1"/>
  <c r="N183" i="11"/>
  <c r="O183" i="11" s="1"/>
  <c r="N172" i="11"/>
  <c r="O172" i="11" s="1"/>
  <c r="N175" i="11"/>
  <c r="O175" i="11" s="1"/>
  <c r="N190" i="11"/>
  <c r="O190" i="11" s="1"/>
  <c r="N189" i="11"/>
  <c r="O189" i="11" s="1"/>
  <c r="E178" i="11"/>
  <c r="N178" i="11"/>
  <c r="O178" i="11" s="1"/>
  <c r="E177" i="11"/>
  <c r="N177" i="11"/>
  <c r="O177" i="11" s="1"/>
  <c r="C194" i="11"/>
  <c r="I15" i="11"/>
  <c r="M156" i="11"/>
  <c r="N156" i="11"/>
  <c r="O156" i="11" s="1"/>
  <c r="C165" i="11"/>
  <c r="C145" i="11"/>
  <c r="C144" i="11"/>
  <c r="C148" i="11"/>
  <c r="C147" i="11"/>
  <c r="C146" i="11"/>
  <c r="E146" i="11"/>
  <c r="N146" i="11"/>
  <c r="O146" i="11" s="1"/>
  <c r="N143" i="11"/>
  <c r="O143" i="11" s="1"/>
  <c r="E135" i="11"/>
  <c r="C138" i="11"/>
  <c r="N136" i="11"/>
  <c r="O136" i="11" s="1"/>
  <c r="E136" i="11"/>
  <c r="N113" i="11"/>
  <c r="O113" i="11" s="1"/>
  <c r="N109" i="11"/>
  <c r="O109" i="11" s="1"/>
  <c r="N121" i="11"/>
  <c r="O121" i="11" s="1"/>
  <c r="N116" i="11"/>
  <c r="O116" i="11" s="1"/>
  <c r="N119" i="11"/>
  <c r="O119" i="11" s="1"/>
  <c r="N122" i="11"/>
  <c r="O122" i="11" s="1"/>
  <c r="N108" i="11"/>
  <c r="O108" i="11" s="1"/>
  <c r="C126" i="11"/>
  <c r="N103" i="11"/>
  <c r="O103" i="11" s="1"/>
  <c r="E125" i="11"/>
  <c r="N125" i="11"/>
  <c r="O125" i="11" s="1"/>
  <c r="N123" i="11"/>
  <c r="O123" i="11" s="1"/>
  <c r="K11" i="11"/>
  <c r="N95" i="11"/>
  <c r="O95" i="11" s="1"/>
  <c r="N85" i="11"/>
  <c r="O85" i="11" s="1"/>
  <c r="G11" i="11"/>
  <c r="N79" i="11"/>
  <c r="O79" i="11" s="1"/>
  <c r="E91" i="11"/>
  <c r="N91" i="11"/>
  <c r="O91" i="11" s="1"/>
  <c r="I83" i="11"/>
  <c r="N83" i="11"/>
  <c r="O83" i="11" s="1"/>
  <c r="C98" i="11"/>
  <c r="M11" i="11"/>
  <c r="B17" i="11"/>
  <c r="C203" i="11" s="1"/>
  <c r="I11" i="11"/>
  <c r="C73" i="11"/>
  <c r="J27" i="11"/>
  <c r="K27" i="11" s="1"/>
  <c r="N46" i="11"/>
  <c r="O46" i="11" s="1"/>
  <c r="N42" i="11"/>
  <c r="O42" i="11" s="1"/>
  <c r="C45" i="11"/>
  <c r="C43" i="11"/>
  <c r="C49" i="11"/>
  <c r="C42" i="11"/>
  <c r="C46" i="11"/>
  <c r="C40" i="11"/>
  <c r="C47" i="11"/>
  <c r="C48" i="11"/>
  <c r="C39" i="11"/>
  <c r="C44" i="11"/>
  <c r="C41" i="11"/>
  <c r="N29" i="11"/>
  <c r="O29" i="11" s="1"/>
  <c r="G203" i="11"/>
  <c r="G201" i="11"/>
  <c r="G207" i="11"/>
  <c r="G204" i="11"/>
  <c r="G206" i="11"/>
  <c r="G205" i="11"/>
  <c r="G200" i="11"/>
  <c r="G199" i="11"/>
  <c r="N26" i="11"/>
  <c r="O26" i="11" s="1"/>
  <c r="N33" i="11"/>
  <c r="O33" i="11" s="1"/>
  <c r="B208" i="11"/>
  <c r="D73" i="11"/>
  <c r="E73" i="11" s="1"/>
  <c r="C26" i="11"/>
  <c r="C24" i="11"/>
  <c r="C32" i="11"/>
  <c r="C25" i="11"/>
  <c r="C30" i="11"/>
  <c r="C31" i="11"/>
  <c r="C29" i="11"/>
  <c r="C33" i="11"/>
  <c r="C28" i="11"/>
  <c r="C27" i="11"/>
  <c r="O203" i="11"/>
  <c r="O202" i="11"/>
  <c r="O204" i="11"/>
  <c r="K208" i="11"/>
  <c r="O207" i="11"/>
  <c r="O199" i="11"/>
  <c r="I208" i="11"/>
  <c r="O200" i="11"/>
  <c r="O206" i="11"/>
  <c r="G208" i="11"/>
  <c r="M208" i="11"/>
  <c r="O201" i="11"/>
  <c r="M158" i="11"/>
  <c r="N158" i="11"/>
  <c r="O158" i="11" s="1"/>
  <c r="L138" i="11"/>
  <c r="M138" i="11" s="1"/>
  <c r="M132" i="11"/>
  <c r="E137" i="11"/>
  <c r="N137" i="11"/>
  <c r="O137" i="11" s="1"/>
  <c r="J17" i="11"/>
  <c r="K8" i="11"/>
  <c r="E25" i="11"/>
  <c r="N25" i="11"/>
  <c r="O25" i="11" s="1"/>
  <c r="M162" i="11"/>
  <c r="N162" i="11"/>
  <c r="O162" i="11" s="1"/>
  <c r="E176" i="11"/>
  <c r="N176" i="11"/>
  <c r="O176" i="11" s="1"/>
  <c r="H149" i="11"/>
  <c r="I149" i="11" s="1"/>
  <c r="K24" i="11"/>
  <c r="E24" i="11"/>
  <c r="N24" i="11"/>
  <c r="D34" i="11"/>
  <c r="E34" i="11" s="1"/>
  <c r="N40" i="11"/>
  <c r="O40" i="11" s="1"/>
  <c r="E40" i="11"/>
  <c r="J138" i="11"/>
  <c r="K138" i="11" s="1"/>
  <c r="K132" i="11"/>
  <c r="E124" i="11"/>
  <c r="N124" i="11"/>
  <c r="O124" i="11" s="1"/>
  <c r="H126" i="11"/>
  <c r="I126" i="11" s="1"/>
  <c r="I104" i="11"/>
  <c r="F126" i="11"/>
  <c r="G126" i="11" s="1"/>
  <c r="G104" i="11"/>
  <c r="N61" i="11"/>
  <c r="O61" i="11" s="1"/>
  <c r="E61" i="11"/>
  <c r="N63" i="11"/>
  <c r="O63" i="11" s="1"/>
  <c r="E63" i="11"/>
  <c r="G79" i="11"/>
  <c r="F98" i="11"/>
  <c r="G98" i="11" s="1"/>
  <c r="M145" i="11"/>
  <c r="L149" i="11"/>
  <c r="M149" i="11" s="1"/>
  <c r="N49" i="11"/>
  <c r="O49" i="11" s="1"/>
  <c r="E49" i="11"/>
  <c r="N64" i="11"/>
  <c r="O64" i="11" s="1"/>
  <c r="N86" i="11"/>
  <c r="O86" i="11" s="1"/>
  <c r="E86" i="11"/>
  <c r="N179" i="11"/>
  <c r="O179" i="11" s="1"/>
  <c r="E179" i="11"/>
  <c r="N15" i="11"/>
  <c r="O15" i="11" s="1"/>
  <c r="E15" i="11"/>
  <c r="H165" i="11"/>
  <c r="I165" i="11" s="1"/>
  <c r="I155" i="11"/>
  <c r="N66" i="11"/>
  <c r="O66" i="11" s="1"/>
  <c r="E66" i="11"/>
  <c r="E94" i="11"/>
  <c r="N94" i="11"/>
  <c r="O94" i="11" s="1"/>
  <c r="N44" i="11"/>
  <c r="O44" i="11" s="1"/>
  <c r="J194" i="11"/>
  <c r="K194" i="11" s="1"/>
  <c r="E187" i="11"/>
  <c r="N187" i="11"/>
  <c r="O187" i="11" s="1"/>
  <c r="H73" i="11"/>
  <c r="I73" i="11" s="1"/>
  <c r="I56" i="11"/>
  <c r="E90" i="11"/>
  <c r="N90" i="11"/>
  <c r="O90" i="11" s="1"/>
  <c r="E80" i="11"/>
  <c r="N80" i="11"/>
  <c r="O80" i="11" s="1"/>
  <c r="E193" i="11"/>
  <c r="N193" i="11"/>
  <c r="O193" i="11" s="1"/>
  <c r="G171" i="11"/>
  <c r="F194" i="11"/>
  <c r="G194" i="11" s="1"/>
  <c r="E107" i="11"/>
  <c r="N107" i="11"/>
  <c r="O107" i="11" s="1"/>
  <c r="J50" i="11"/>
  <c r="K50" i="11" s="1"/>
  <c r="K39" i="11"/>
  <c r="D50" i="11"/>
  <c r="E50" i="11" s="1"/>
  <c r="E39" i="11"/>
  <c r="N39" i="11"/>
  <c r="E57" i="11"/>
  <c r="N57" i="11"/>
  <c r="O57" i="11" s="1"/>
  <c r="D98" i="11"/>
  <c r="E98" i="11" s="1"/>
  <c r="E182" i="11"/>
  <c r="N182" i="11"/>
  <c r="O182" i="11" s="1"/>
  <c r="L194" i="11"/>
  <c r="M194" i="11" s="1"/>
  <c r="M171" i="11"/>
  <c r="N174" i="11"/>
  <c r="O174" i="11" s="1"/>
  <c r="E174" i="11"/>
  <c r="F50" i="11"/>
  <c r="G50" i="11" s="1"/>
  <c r="G39" i="11"/>
  <c r="J73" i="11"/>
  <c r="K73" i="11" s="1"/>
  <c r="K56" i="11"/>
  <c r="N60" i="11"/>
  <c r="O60" i="11" s="1"/>
  <c r="E60" i="11"/>
  <c r="N45" i="11"/>
  <c r="O45" i="11" s="1"/>
  <c r="E45" i="11"/>
  <c r="M160" i="11"/>
  <c r="N160" i="11"/>
  <c r="O160" i="11" s="1"/>
  <c r="E8" i="11"/>
  <c r="D17" i="11"/>
  <c r="N8" i="11"/>
  <c r="M8" i="11"/>
  <c r="L17" i="11"/>
  <c r="N114" i="11"/>
  <c r="O114" i="11" s="1"/>
  <c r="E114" i="11"/>
  <c r="F34" i="11"/>
  <c r="G34" i="11" s="1"/>
  <c r="G24" i="11"/>
  <c r="M80" i="11"/>
  <c r="L98" i="11"/>
  <c r="M98" i="11" s="1"/>
  <c r="E88" i="11"/>
  <c r="N88" i="11"/>
  <c r="O88" i="11" s="1"/>
  <c r="L73" i="11"/>
  <c r="M73" i="11" s="1"/>
  <c r="M56" i="11"/>
  <c r="H138" i="11"/>
  <c r="I138" i="11" s="1"/>
  <c r="I132" i="11"/>
  <c r="J126" i="11"/>
  <c r="K126" i="11" s="1"/>
  <c r="K104" i="11"/>
  <c r="I171" i="11"/>
  <c r="H194" i="11"/>
  <c r="I194" i="11" s="1"/>
  <c r="N87" i="11"/>
  <c r="O87" i="11" s="1"/>
  <c r="E87" i="11"/>
  <c r="N41" i="11"/>
  <c r="O41" i="11" s="1"/>
  <c r="E41" i="11"/>
  <c r="L165" i="11"/>
  <c r="M165" i="11" s="1"/>
  <c r="N155" i="11"/>
  <c r="M155" i="11"/>
  <c r="E145" i="11"/>
  <c r="N145" i="11"/>
  <c r="D149" i="11"/>
  <c r="E149" i="11" s="1"/>
  <c r="F73" i="11"/>
  <c r="G73" i="11" s="1"/>
  <c r="G56" i="11"/>
  <c r="L50" i="11"/>
  <c r="M50" i="11" s="1"/>
  <c r="N47" i="11"/>
  <c r="O47" i="11" s="1"/>
  <c r="N148" i="11"/>
  <c r="O148" i="11" s="1"/>
  <c r="E16" i="11"/>
  <c r="N16" i="11"/>
  <c r="O16" i="11" s="1"/>
  <c r="N32" i="11"/>
  <c r="O32" i="11" s="1"/>
  <c r="E32" i="11"/>
  <c r="N93" i="11"/>
  <c r="O93" i="11" s="1"/>
  <c r="E93" i="11"/>
  <c r="N92" i="11"/>
  <c r="O92" i="11" s="1"/>
  <c r="E92" i="11"/>
  <c r="N59" i="11"/>
  <c r="O59" i="11" s="1"/>
  <c r="E59" i="11"/>
  <c r="N31" i="11"/>
  <c r="O31" i="11" s="1"/>
  <c r="E31" i="11"/>
  <c r="E207" i="11"/>
  <c r="E201" i="11"/>
  <c r="E208" i="11"/>
  <c r="E204" i="11"/>
  <c r="E203" i="11"/>
  <c r="E199" i="11"/>
  <c r="E200" i="11"/>
  <c r="E202" i="11"/>
  <c r="E206" i="11"/>
  <c r="E181" i="11"/>
  <c r="N181" i="11"/>
  <c r="O181" i="11" s="1"/>
  <c r="E180" i="11"/>
  <c r="N180" i="11"/>
  <c r="O180" i="11" s="1"/>
  <c r="L34" i="11"/>
  <c r="M34" i="11" s="1"/>
  <c r="M24" i="11"/>
  <c r="F138" i="11"/>
  <c r="G138" i="11" s="1"/>
  <c r="G132" i="11"/>
  <c r="L126" i="11"/>
  <c r="M126" i="11" s="1"/>
  <c r="M104" i="11"/>
  <c r="E12" i="11"/>
  <c r="N12" i="11"/>
  <c r="O12" i="11" s="1"/>
  <c r="E106" i="11"/>
  <c r="N106" i="11"/>
  <c r="O106" i="11" s="1"/>
  <c r="E11" i="11"/>
  <c r="N11" i="11"/>
  <c r="O11" i="11" s="1"/>
  <c r="E192" i="11"/>
  <c r="N192" i="11"/>
  <c r="O192" i="11" s="1"/>
  <c r="J98" i="11"/>
  <c r="K98" i="11" s="1"/>
  <c r="E155" i="11"/>
  <c r="D165" i="11"/>
  <c r="E165" i="11" s="1"/>
  <c r="F165" i="11"/>
  <c r="G165" i="11" s="1"/>
  <c r="G155" i="11"/>
  <c r="G145" i="11"/>
  <c r="F149" i="11"/>
  <c r="G149" i="11" s="1"/>
  <c r="E14" i="11"/>
  <c r="N14" i="11"/>
  <c r="O14" i="11" s="1"/>
  <c r="N111" i="11"/>
  <c r="O111" i="11" s="1"/>
  <c r="E111" i="11"/>
  <c r="N28" i="11"/>
  <c r="O28" i="11" s="1"/>
  <c r="N159" i="11"/>
  <c r="O159" i="11" s="1"/>
  <c r="H50" i="11"/>
  <c r="I50" i="11" s="1"/>
  <c r="I39" i="11"/>
  <c r="K145" i="11"/>
  <c r="J149" i="11"/>
  <c r="K149" i="11" s="1"/>
  <c r="E97" i="11"/>
  <c r="N97" i="11"/>
  <c r="O97" i="11" s="1"/>
  <c r="N9" i="11"/>
  <c r="O9" i="11" s="1"/>
  <c r="E9" i="11"/>
  <c r="N147" i="11"/>
  <c r="O147" i="11" s="1"/>
  <c r="E147" i="11"/>
  <c r="N68" i="11"/>
  <c r="O68" i="11" s="1"/>
  <c r="E68" i="11"/>
  <c r="O205" i="11"/>
  <c r="F17" i="11"/>
  <c r="G8" i="11"/>
  <c r="I8" i="11"/>
  <c r="H17" i="11"/>
  <c r="N89" i="11"/>
  <c r="O89" i="11" s="1"/>
  <c r="E89" i="11"/>
  <c r="H98" i="11"/>
  <c r="I98" i="11" s="1"/>
  <c r="I79" i="11"/>
  <c r="I24" i="11"/>
  <c r="H34" i="11"/>
  <c r="I34" i="11" s="1"/>
  <c r="E65" i="11"/>
  <c r="N65" i="11"/>
  <c r="O65" i="11" s="1"/>
  <c r="E72" i="11"/>
  <c r="N72" i="11"/>
  <c r="O72" i="11" s="1"/>
  <c r="E13" i="11"/>
  <c r="N13" i="11"/>
  <c r="O13" i="11" s="1"/>
  <c r="N132" i="11"/>
  <c r="D138" i="11"/>
  <c r="E138" i="11" s="1"/>
  <c r="E132" i="11"/>
  <c r="E186" i="11"/>
  <c r="N186" i="11"/>
  <c r="O186" i="11" s="1"/>
  <c r="D126" i="11"/>
  <c r="E126" i="11" s="1"/>
  <c r="N104" i="11"/>
  <c r="E104" i="11"/>
  <c r="N58" i="11"/>
  <c r="O58" i="11" s="1"/>
  <c r="E58" i="11"/>
  <c r="E84" i="11"/>
  <c r="N84" i="11"/>
  <c r="O84" i="11" s="1"/>
  <c r="N161" i="11"/>
  <c r="O161" i="11" s="1"/>
  <c r="M161" i="11"/>
  <c r="N110" i="11"/>
  <c r="O110" i="11" s="1"/>
  <c r="E110" i="11"/>
  <c r="E118" i="11"/>
  <c r="N118" i="11"/>
  <c r="O118" i="11" s="1"/>
  <c r="E70" i="11"/>
  <c r="N70" i="11"/>
  <c r="O70" i="11" s="1"/>
  <c r="N185" i="11"/>
  <c r="O185" i="11" s="1"/>
  <c r="E185" i="11"/>
  <c r="E10" i="11"/>
  <c r="N10" i="11"/>
  <c r="O10" i="11" s="1"/>
  <c r="E188" i="11"/>
  <c r="N188" i="11"/>
  <c r="O188" i="11" s="1"/>
  <c r="N173" i="11"/>
  <c r="O173" i="11" s="1"/>
  <c r="E173" i="11"/>
  <c r="N56" i="11"/>
  <c r="E171" i="11"/>
  <c r="N171" i="11"/>
  <c r="D194" i="11"/>
  <c r="E194" i="11" s="1"/>
  <c r="K155" i="11"/>
  <c r="J165" i="11"/>
  <c r="K165" i="11" s="1"/>
  <c r="N62" i="11"/>
  <c r="O62" i="11" s="1"/>
  <c r="E62" i="11"/>
  <c r="E69" i="11"/>
  <c r="N69" i="11"/>
  <c r="O69" i="11" s="1"/>
  <c r="N120" i="11"/>
  <c r="O120" i="11" s="1"/>
  <c r="N82" i="11"/>
  <c r="O82" i="11" s="1"/>
  <c r="C149" i="11" l="1"/>
  <c r="M17" i="11"/>
  <c r="C207" i="11"/>
  <c r="C13" i="11"/>
  <c r="I17" i="11"/>
  <c r="E17" i="11"/>
  <c r="K17" i="11"/>
  <c r="C206" i="11"/>
  <c r="C9" i="11"/>
  <c r="C8" i="11"/>
  <c r="C12" i="11"/>
  <c r="C200" i="11"/>
  <c r="G17" i="11"/>
  <c r="C14" i="11"/>
  <c r="C11" i="11"/>
  <c r="C204" i="11"/>
  <c r="C199" i="11"/>
  <c r="C15" i="11"/>
  <c r="C16" i="11"/>
  <c r="C10" i="11"/>
  <c r="C201" i="11"/>
  <c r="C202" i="11"/>
  <c r="C205" i="11"/>
  <c r="N27" i="11"/>
  <c r="O27" i="11" s="1"/>
  <c r="J34" i="11"/>
  <c r="K34" i="11" s="1"/>
  <c r="C50" i="11"/>
  <c r="C34" i="11"/>
  <c r="N194" i="11"/>
  <c r="O194" i="11" s="1"/>
  <c r="O171" i="11"/>
  <c r="N126" i="11"/>
  <c r="O126" i="11" s="1"/>
  <c r="O104" i="11"/>
  <c r="O24" i="11"/>
  <c r="O56" i="11"/>
  <c r="N73" i="11"/>
  <c r="O73" i="11" s="1"/>
  <c r="O132" i="11"/>
  <c r="N138" i="11"/>
  <c r="O138" i="11" s="1"/>
  <c r="N165" i="11"/>
  <c r="O165" i="11" s="1"/>
  <c r="O155" i="11"/>
  <c r="O8" i="11"/>
  <c r="N17" i="11"/>
  <c r="O17" i="11" s="1"/>
  <c r="O208" i="11"/>
  <c r="O39" i="11"/>
  <c r="N50" i="11"/>
  <c r="O50" i="11" s="1"/>
  <c r="O145" i="11"/>
  <c r="N149" i="11"/>
  <c r="O149" i="11" s="1"/>
  <c r="N98" i="11"/>
  <c r="O98" i="11" s="1"/>
  <c r="C17" i="11" l="1"/>
  <c r="C208" i="11"/>
  <c r="N34" i="11"/>
  <c r="O34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</authors>
  <commentList>
    <comment ref="B19" authorId="0" shapeId="0" xr:uid="{00000000-0006-0000-00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1" authorId="0" shapeId="0" xr:uid="{00000000-0006-0000-0000-00000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1" authorId="0" shapeId="0" xr:uid="{00000000-0006-0000-0000-00000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8" authorId="0" shapeId="0" xr:uid="{00000000-0006-0000-0000-00000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A74" authorId="0" shapeId="0" xr:uid="{00000000-0006-0000-00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municipio. No reportaron IRCA 2020 tampoco  IRCA 2021.</t>
        </r>
      </text>
    </comment>
    <comment ref="B86" authorId="0" shapeId="0" xr:uid="{00000000-0006-0000-00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22" authorId="0" shapeId="0" xr:uid="{00000000-0006-0000-0000-00000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30" authorId="0" shapeId="0" xr:uid="{00000000-0006-0000-00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del año 2020</t>
        </r>
      </text>
    </comment>
    <comment ref="B170" authorId="0" shapeId="0" xr:uid="{00000000-0006-0000-00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A171" authorId="0" shapeId="0" xr:uid="{00000000-0006-0000-0000-00000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municipio. No reportaron IRCA 2020 tampoco  IRCA 2021.</t>
        </r>
      </text>
    </comment>
    <comment ref="B190" authorId="0" shapeId="0" xr:uid="{00000000-0006-0000-00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91" authorId="0" shapeId="0" xr:uid="{00000000-0006-0000-00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2020, numero de suscriptores 2021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ROGELIO DE JESUS LOPEZ</author>
  </authors>
  <commentList>
    <comment ref="E20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ROGELIO DE JESUS LOPEZ:</t>
        </r>
        <r>
          <rPr>
            <sz val="9"/>
            <color indexed="81"/>
            <rFont val="Tahoma"/>
            <family val="2"/>
          </rPr>
          <t xml:space="preserve">
EL porcentaje es con respecto al total de las muestras y no a numero de sistemas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  <author>Usuario</author>
  </authors>
  <commentList>
    <comment ref="B11" authorId="0" shapeId="0" xr:uid="{00000000-0006-0000-01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2" authorId="0" shapeId="0" xr:uid="{00000000-0006-0000-0100-00000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13" authorId="0" shapeId="0" xr:uid="{00000000-0006-0000-0100-00000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14" authorId="0" shapeId="0" xr:uid="{00000000-0006-0000-0100-00000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15" authorId="0" shapeId="0" xr:uid="{00000000-0006-0000-01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 numero de suscriptores 2021</t>
        </r>
      </text>
    </comment>
    <comment ref="B16" authorId="0" shapeId="0" xr:uid="{00000000-0006-0000-01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17" authorId="0" shapeId="0" xr:uid="{00000000-0006-0000-0100-00000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18" authorId="0" shapeId="0" xr:uid="{00000000-0006-0000-01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19" authorId="0" shapeId="0" xr:uid="{00000000-0006-0000-01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20" authorId="0" shapeId="0" xr:uid="{00000000-0006-0000-0100-00000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2020,numero de suscriptores 2021</t>
        </r>
      </text>
    </comment>
    <comment ref="B22" authorId="0" shapeId="0" xr:uid="{00000000-0006-0000-01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2019,numero de suscriptores 2021</t>
        </r>
      </text>
    </comment>
    <comment ref="B24" authorId="0" shapeId="0" xr:uid="{00000000-0006-0000-01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5" authorId="0" shapeId="0" xr:uid="{00000000-0006-0000-0100-00000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1" authorId="0" shapeId="0" xr:uid="{00000000-0006-0000-0100-00000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2" authorId="0" shapeId="0" xr:uid="{00000000-0006-0000-0100-00000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4" authorId="0" shapeId="0" xr:uid="{00000000-0006-0000-0100-00001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5" authorId="0" shapeId="0" xr:uid="{00000000-0006-0000-0100-00001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6" authorId="0" shapeId="0" xr:uid="{00000000-0006-0000-0100-00001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7" authorId="0" shapeId="0" xr:uid="{00000000-0006-0000-0100-00001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8" authorId="0" shapeId="0" xr:uid="{00000000-0006-0000-0100-00001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40" authorId="0" shapeId="0" xr:uid="{00000000-0006-0000-0100-00001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42" authorId="0" shapeId="0" xr:uid="{00000000-0006-0000-0100-00001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62" authorId="0" shapeId="0" xr:uid="{00000000-0006-0000-0100-00001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68" authorId="0" shapeId="0" xr:uid="{00000000-0006-0000-0100-00001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70" authorId="0" shapeId="0" xr:uid="{00000000-0006-0000-0100-00001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71" authorId="0" shapeId="0" xr:uid="{00000000-0006-0000-0100-00001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72" authorId="0" shapeId="0" xr:uid="{00000000-0006-0000-0100-00001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73" authorId="0" shapeId="0" xr:uid="{00000000-0006-0000-0100-00001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C73" authorId="1" shapeId="0" xr:uid="{00000000-0006-0000-0100-00001D000000}">
      <text>
        <r>
          <rPr>
            <sz val="11"/>
            <color indexed="81"/>
            <rFont val="Arial"/>
            <family val="2"/>
          </rPr>
          <t>Sin sistema de susministro de agua  para consumo humano</t>
        </r>
      </text>
    </comment>
    <comment ref="B74" authorId="0" shapeId="0" xr:uid="{00000000-0006-0000-0100-00001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77" authorId="0" shapeId="0" xr:uid="{00000000-0006-0000-0100-00001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7" authorId="0" shapeId="0" xr:uid="{00000000-0006-0000-0100-00002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00" authorId="0" shapeId="0" xr:uid="{00000000-0006-0000-0100-00002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01" authorId="0" shapeId="0" xr:uid="{00000000-0006-0000-0100-00002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02" authorId="0" shapeId="0" xr:uid="{00000000-0006-0000-0100-00002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03" authorId="0" shapeId="0" xr:uid="{00000000-0006-0000-0100-00002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04" authorId="0" shapeId="0" xr:uid="{00000000-0006-0000-0100-00002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05" authorId="0" shapeId="0" xr:uid="{00000000-0006-0000-0100-00002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  <author>Usuario</author>
  </authors>
  <commentList>
    <comment ref="B37" authorId="0" shapeId="0" xr:uid="{00000000-0006-0000-02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8" authorId="0" shapeId="0" xr:uid="{00000000-0006-0000-0200-00000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0" authorId="0" shapeId="0" xr:uid="{00000000-0006-0000-0200-00000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1" authorId="0" shapeId="0" xr:uid="{00000000-0006-0000-0200-00000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2" authorId="0" shapeId="0" xr:uid="{00000000-0006-0000-02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3" authorId="0" shapeId="0" xr:uid="{00000000-0006-0000-02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89" authorId="1" shapeId="0" xr:uid="{00000000-0006-0000-0200-000007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98" authorId="1" shapeId="0" xr:uid="{00000000-0006-0000-0200-000008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02" authorId="1" shapeId="0" xr:uid="{00000000-0006-0000-0200-000009000000}">
      <text>
        <r>
          <rPr>
            <sz val="11"/>
            <color indexed="81"/>
            <rFont val="Arial"/>
            <family val="2"/>
          </rPr>
          <t>INFORMACION DEL AÑO 2018</t>
        </r>
      </text>
    </comment>
    <comment ref="B107" authorId="1" shapeId="0" xr:uid="{00000000-0006-0000-0200-00000A000000}">
      <text>
        <r>
          <rPr>
            <sz val="11"/>
            <color indexed="81"/>
            <rFont val="Arial"/>
            <family val="2"/>
          </rPr>
          <t>INFORMACION DEL AÑO 2018</t>
        </r>
      </text>
    </comment>
    <comment ref="C107" authorId="1" shapeId="0" xr:uid="{00000000-0006-0000-0200-00000B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08" authorId="1" shapeId="0" xr:uid="{00000000-0006-0000-0200-00000C000000}">
      <text>
        <r>
          <rPr>
            <sz val="11"/>
            <color indexed="81"/>
            <rFont val="Arial"/>
            <family val="2"/>
          </rPr>
          <t>INFORMACION DEL AÑO 2018</t>
        </r>
      </text>
    </comment>
    <comment ref="C108" authorId="1" shapeId="0" xr:uid="{00000000-0006-0000-0200-00000D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11" authorId="1" shapeId="0" xr:uid="{00000000-0006-0000-0200-00000E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15" authorId="0" shapeId="0" xr:uid="{00000000-0006-0000-0200-00000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17" authorId="0" shapeId="0" xr:uid="{00000000-0006-0000-0200-00001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26" authorId="1" shapeId="0" xr:uid="{00000000-0006-0000-0200-000011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29" authorId="0" shapeId="0" xr:uid="{00000000-0006-0000-0200-00001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30" authorId="0" shapeId="0" xr:uid="{00000000-0006-0000-0200-00001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31" authorId="1" shapeId="0" xr:uid="{00000000-0006-0000-0200-000014000000}">
      <text>
        <r>
          <rPr>
            <sz val="11"/>
            <color indexed="81"/>
            <rFont val="Arial"/>
            <family val="2"/>
          </rPr>
          <t>INFORMACION DEL AÑO 2018</t>
        </r>
      </text>
    </comment>
    <comment ref="B132" authorId="0" shapeId="0" xr:uid="{00000000-0006-0000-0200-00001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33" authorId="0" shapeId="0" xr:uid="{00000000-0006-0000-0200-00001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34" authorId="0" shapeId="0" xr:uid="{00000000-0006-0000-0200-00001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37" authorId="0" shapeId="0" xr:uid="{00000000-0006-0000-0200-00001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42" authorId="0" shapeId="0" xr:uid="{00000000-0006-0000-0200-00001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A144" authorId="0" shapeId="0" xr:uid="{00000000-0006-0000-0200-00001A000000}">
      <text>
        <r>
          <rPr>
            <b/>
            <sz val="12"/>
            <color indexed="81"/>
            <rFont val="Tahoma"/>
            <family val="2"/>
          </rPr>
          <t>S0488:</t>
        </r>
        <r>
          <rPr>
            <sz val="12"/>
            <color indexed="81"/>
            <rFont val="Tahoma"/>
            <family val="2"/>
          </rPr>
          <t xml:space="preserve">
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" authorId="0" shapeId="0" xr:uid="{00000000-0006-0000-0200-00001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2018</t>
        </r>
      </text>
    </comment>
    <comment ref="B151" authorId="0" shapeId="0" xr:uid="{00000000-0006-0000-0200-00001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52" authorId="0" shapeId="0" xr:uid="{00000000-0006-0000-0200-00001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56" authorId="0" shapeId="0" xr:uid="{00000000-0006-0000-0200-00001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58" authorId="0" shapeId="0" xr:uid="{00000000-0006-0000-0200-00001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60" authorId="1" shapeId="0" xr:uid="{00000000-0006-0000-0200-000020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61" authorId="0" shapeId="0" xr:uid="{00000000-0006-0000-0200-00002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2018</t>
        </r>
      </text>
    </comment>
    <comment ref="B162" authorId="0" shapeId="0" xr:uid="{00000000-0006-0000-0200-00002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66" authorId="0" shapeId="0" xr:uid="{00000000-0006-0000-0200-00002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67" authorId="0" shapeId="0" xr:uid="{00000000-0006-0000-0200-00002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68" authorId="0" shapeId="0" xr:uid="{00000000-0006-0000-0200-00002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69" authorId="0" shapeId="0" xr:uid="{00000000-0006-0000-0200-00002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0" authorId="0" shapeId="0" xr:uid="{00000000-0006-0000-0200-00002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4" authorId="0" shapeId="0" xr:uid="{00000000-0006-0000-0200-00002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5" authorId="0" shapeId="0" xr:uid="{00000000-0006-0000-0200-00002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6" authorId="0" shapeId="0" xr:uid="{00000000-0006-0000-0200-00002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7" authorId="0" shapeId="0" xr:uid="{00000000-0006-0000-0200-00002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8" authorId="0" shapeId="0" xr:uid="{00000000-0006-0000-0200-00002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9" authorId="0" shapeId="0" xr:uid="{00000000-0006-0000-0200-00002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80" authorId="0" shapeId="0" xr:uid="{00000000-0006-0000-0200-00002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81" authorId="0" shapeId="0" xr:uid="{00000000-0006-0000-0200-00002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82" authorId="0" shapeId="0" xr:uid="{00000000-0006-0000-0200-00003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01" authorId="1" shapeId="0" xr:uid="{00000000-0006-0000-0200-000031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233" authorId="0" shapeId="0" xr:uid="{00000000-0006-0000-0200-00003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34" authorId="0" shapeId="0" xr:uid="{00000000-0006-0000-0200-00003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35" authorId="0" shapeId="0" xr:uid="{00000000-0006-0000-0200-00003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36" authorId="0" shapeId="0" xr:uid="{00000000-0006-0000-0200-00003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37" authorId="0" shapeId="0" xr:uid="{00000000-0006-0000-0200-00003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40" authorId="0" shapeId="0" xr:uid="{00000000-0006-0000-0200-00003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41" authorId="0" shapeId="0" xr:uid="{00000000-0006-0000-0200-00003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42" authorId="0" shapeId="0" xr:uid="{00000000-0006-0000-0200-00003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43" authorId="0" shapeId="0" xr:uid="{00000000-0006-0000-0200-00003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44" authorId="0" shapeId="0" xr:uid="{00000000-0006-0000-0200-00003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  <author>Usuario</author>
    <author>TECNICO DE SALUD</author>
  </authors>
  <commentList>
    <comment ref="B12" authorId="0" shapeId="0" xr:uid="{00000000-0006-0000-03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13" authorId="1" shapeId="0" xr:uid="{00000000-0006-0000-0300-000002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4" authorId="1" shapeId="0" xr:uid="{00000000-0006-0000-0300-000003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15" authorId="0" shapeId="0" xr:uid="{00000000-0006-0000-0300-00000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6" authorId="0" shapeId="0" xr:uid="{00000000-0006-0000-03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8" authorId="0" shapeId="0" xr:uid="{00000000-0006-0000-03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0" authorId="0" shapeId="0" xr:uid="{00000000-0006-0000-0300-00000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1" authorId="0" shapeId="0" xr:uid="{00000000-0006-0000-03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2" authorId="0" shapeId="0" xr:uid="{00000000-0006-0000-03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3" authorId="0" shapeId="0" xr:uid="{00000000-0006-0000-0300-00000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4" authorId="0" shapeId="0" xr:uid="{00000000-0006-0000-03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5" authorId="0" shapeId="0" xr:uid="{00000000-0006-0000-03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7" authorId="0" shapeId="0" xr:uid="{00000000-0006-0000-0300-00000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9" authorId="0" shapeId="0" xr:uid="{00000000-0006-0000-0300-00000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1" authorId="0" shapeId="0" xr:uid="{00000000-0006-0000-0300-00000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3" authorId="0" shapeId="0" xr:uid="{00000000-0006-0000-0300-00001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4" authorId="0" shapeId="0" xr:uid="{00000000-0006-0000-0300-00001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5" authorId="0" shapeId="0" xr:uid="{00000000-0006-0000-0300-00001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41" authorId="0" shapeId="0" xr:uid="{00000000-0006-0000-0300-00001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2" authorId="0" shapeId="0" xr:uid="{00000000-0006-0000-0300-00001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3" authorId="0" shapeId="0" xr:uid="{00000000-0006-0000-0300-00001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4" authorId="0" shapeId="0" xr:uid="{00000000-0006-0000-0300-00001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5" authorId="0" shapeId="0" xr:uid="{00000000-0006-0000-0300-00001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A47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Esta registrado en sivicap,no esta en el archivo de conceptos, no hay AIS.No tiene numero de suscriptores.
</t>
        </r>
      </text>
    </comment>
    <comment ref="B48" authorId="0" shapeId="0" xr:uid="{00000000-0006-0000-0300-00001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49" authorId="0" shapeId="0" xr:uid="{00000000-0006-0000-0300-00001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56" authorId="0" shapeId="0" xr:uid="{00000000-0006-0000-0300-00001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59" authorId="0" shapeId="0" xr:uid="{00000000-0006-0000-0300-00001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0" authorId="0" shapeId="0" xr:uid="{00000000-0006-0000-0300-00001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2" authorId="0" shapeId="0" xr:uid="{00000000-0006-0000-0300-00001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3" authorId="0" shapeId="0" xr:uid="{00000000-0006-0000-0300-00001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4" authorId="0" shapeId="0" xr:uid="{00000000-0006-0000-0300-00002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5" authorId="0" shapeId="0" xr:uid="{00000000-0006-0000-0300-00002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6" authorId="0" shapeId="0" xr:uid="{00000000-0006-0000-0300-00002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7" authorId="0" shapeId="0" xr:uid="{00000000-0006-0000-0300-00002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8" authorId="0" shapeId="0" xr:uid="{00000000-0006-0000-0300-00002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9" authorId="0" shapeId="0" xr:uid="{00000000-0006-0000-0300-00002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70" authorId="0" shapeId="0" xr:uid="{00000000-0006-0000-0300-00002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A73" authorId="2" shapeId="0" xr:uid="{00000000-0006-0000-0300-000027000000}">
      <text>
        <r>
          <rPr>
            <b/>
            <sz val="9"/>
            <color indexed="81"/>
            <rFont val="Tahoma"/>
            <family val="2"/>
          </rPr>
          <t>TECNICO DE SALUD: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No se realizaron suficientes visitas de los acueductos en este semestre, por motivos de las fuertes lluvias y derrumbes en las distintas vias del area rural.</t>
        </r>
      </text>
    </comment>
    <comment ref="B73" authorId="0" shapeId="0" xr:uid="{00000000-0006-0000-0300-00002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74" authorId="0" shapeId="0" xr:uid="{00000000-0006-0000-0300-00002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del año 2020</t>
        </r>
      </text>
    </comment>
    <comment ref="B75" authorId="0" shapeId="0" xr:uid="{00000000-0006-0000-0300-00002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76" authorId="0" shapeId="0" xr:uid="{00000000-0006-0000-0300-00002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C76" authorId="2" shapeId="0" xr:uid="{00000000-0006-0000-0300-00002C000000}">
      <text>
        <r>
          <rPr>
            <b/>
            <sz val="9"/>
            <color indexed="81"/>
            <rFont val="Tahoma"/>
            <family val="2"/>
          </rPr>
          <t>TECNICO DE SALUD:</t>
        </r>
        <r>
          <rPr>
            <sz val="9"/>
            <color indexed="81"/>
            <rFont val="Tahoma"/>
            <family val="2"/>
          </rPr>
          <t xml:space="preserve">
No cuenta con JAC conformada ( no se realizo la visita sanitaria por tal motivo.)</t>
        </r>
      </text>
    </comment>
    <comment ref="B77" authorId="0" shapeId="0" xr:uid="{00000000-0006-0000-0300-00002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A78" authorId="0" shapeId="0" xr:uid="{00000000-0006-0000-0300-00002E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0" authorId="0" shapeId="0" xr:uid="{00000000-0006-0000-0300-00002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2" authorId="0" shapeId="0" xr:uid="{00000000-0006-0000-0300-00003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4" authorId="0" shapeId="0" xr:uid="{00000000-0006-0000-0300-00003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5" authorId="0" shapeId="0" xr:uid="{00000000-0006-0000-0300-00003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6" authorId="0" shapeId="0" xr:uid="{00000000-0006-0000-0300-00003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7" authorId="0" shapeId="0" xr:uid="{00000000-0006-0000-0300-00003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del 2020
Numero de suscriptores 2021</t>
        </r>
      </text>
    </comment>
    <comment ref="B99" authorId="0" shapeId="0" xr:uid="{00000000-0006-0000-0300-00003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01" authorId="0" shapeId="0" xr:uid="{00000000-0006-0000-0300-00003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del 2020
Numero de suscriptores 2021</t>
        </r>
      </text>
    </comment>
    <comment ref="B103" authorId="0" shapeId="0" xr:uid="{00000000-0006-0000-0300-00003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del 2020
Numero de suscriptores 2021</t>
        </r>
      </text>
    </comment>
    <comment ref="B108" authorId="0" shapeId="0" xr:uid="{00000000-0006-0000-0300-000038000000}">
      <text>
        <r>
          <rPr>
            <b/>
            <sz val="12"/>
            <color indexed="81"/>
            <rFont val="Arial"/>
            <family val="2"/>
          </rPr>
          <t>S0488:
N</t>
        </r>
        <r>
          <rPr>
            <sz val="12"/>
            <color indexed="81"/>
            <rFont val="Arial"/>
            <family val="2"/>
          </rPr>
          <t>umero de suscriptores 2021</t>
        </r>
      </text>
    </comment>
    <comment ref="B109" authorId="0" shapeId="0" xr:uid="{00000000-0006-0000-0300-00003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suscriprores 2021</t>
        </r>
      </text>
    </comment>
    <comment ref="B112" authorId="0" shapeId="0" xr:uid="{00000000-0006-0000-0300-00003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suscriprores 2021</t>
        </r>
      </text>
    </comment>
    <comment ref="B120" authorId="0" shapeId="0" xr:uid="{00000000-0006-0000-0300-00003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del 2020
Numero de suscriptores 2021</t>
        </r>
      </text>
    </comment>
    <comment ref="B128" authorId="0" shapeId="0" xr:uid="{00000000-0006-0000-0300-00003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132" authorId="0" shapeId="0" xr:uid="{00000000-0006-0000-0300-00003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136" authorId="0" shapeId="0" xr:uid="{00000000-0006-0000-0300-00003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del año 2020</t>
        </r>
      </text>
    </comment>
    <comment ref="B138" authorId="0" shapeId="0" xr:uid="{00000000-0006-0000-0300-00003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42" authorId="0" shapeId="0" xr:uid="{00000000-0006-0000-0300-00004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43" authorId="0" shapeId="0" xr:uid="{00000000-0006-0000-0300-00004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145" authorId="0" shapeId="0" xr:uid="{00000000-0006-0000-0300-00004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146" authorId="0" shapeId="0" xr:uid="{00000000-0006-0000-0300-00004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148" authorId="0" shapeId="0" xr:uid="{00000000-0006-0000-0300-00004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del 2020
Numero de suscriptores 2021</t>
        </r>
      </text>
    </comment>
    <comment ref="B149" authorId="0" shapeId="0" xr:uid="{00000000-0006-0000-0300-00004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64" authorId="0" shapeId="0" xr:uid="{00000000-0006-0000-0300-00004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0" authorId="0" shapeId="0" xr:uid="{00000000-0006-0000-0300-00004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1" authorId="0" shapeId="0" xr:uid="{00000000-0006-0000-0300-00004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2" authorId="0" shapeId="0" xr:uid="{00000000-0006-0000-0300-00004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73" authorId="0" shapeId="0" xr:uid="{00000000-0006-0000-0300-00004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193" authorId="0" shapeId="0" xr:uid="{00000000-0006-0000-0300-00004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2020</t>
        </r>
      </text>
    </comment>
    <comment ref="B206" authorId="0" shapeId="0" xr:uid="{00000000-0006-0000-0300-00004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12" authorId="0" shapeId="0" xr:uid="{00000000-0006-0000-0300-00004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13" authorId="0" shapeId="0" xr:uid="{00000000-0006-0000-0300-00004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14" authorId="0" shapeId="0" xr:uid="{00000000-0006-0000-0300-00004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16" authorId="0" shapeId="0" xr:uid="{00000000-0006-0000-0300-00005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20" authorId="0" shapeId="0" xr:uid="{00000000-0006-0000-0300-00005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21" authorId="0" shapeId="0" xr:uid="{00000000-0006-0000-0300-00005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A222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Esta registrado en sivicap,no esta en el archivo de conceptos, no hay AIS.No tiene numero de suscriptores.
</t>
        </r>
      </text>
    </comment>
    <comment ref="B223" authorId="0" shapeId="0" xr:uid="{00000000-0006-0000-0300-00005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28" authorId="0" shapeId="0" xr:uid="{00000000-0006-0000-0300-00005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29" authorId="0" shapeId="0" xr:uid="{00000000-0006-0000-0300-00005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A230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1" authorId="0" shapeId="0" xr:uid="{00000000-0006-0000-0300-00005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A232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3" authorId="0" shapeId="0" xr:uid="{00000000-0006-0000-0300-00005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A234" authorId="0" shapeId="0" xr:uid="{00000000-0006-0000-0300-00005B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6" authorId="0" shapeId="0" xr:uid="{00000000-0006-0000-0300-00005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41" authorId="0" shapeId="0" xr:uid="{00000000-0006-0000-0300-00005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43" authorId="0" shapeId="0" xr:uid="{00000000-0006-0000-0300-00005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46" authorId="0" shapeId="0" xr:uid="{00000000-0006-0000-0300-00005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47" authorId="0" shapeId="0" xr:uid="{00000000-0006-0000-0300-00006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48" authorId="0" shapeId="0" xr:uid="{00000000-0006-0000-0300-00006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50" authorId="0" shapeId="0" xr:uid="{00000000-0006-0000-0300-00006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52" authorId="0" shapeId="0" xr:uid="{00000000-0006-0000-0300-00006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56" authorId="0" shapeId="0" xr:uid="{00000000-0006-0000-0300-00006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57" authorId="0" shapeId="0" xr:uid="{00000000-0006-0000-0300-00006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58" authorId="0" shapeId="0" xr:uid="{00000000-0006-0000-0300-00006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59" authorId="0" shapeId="0" xr:uid="{00000000-0006-0000-0300-00006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60" authorId="0" shapeId="0" xr:uid="{00000000-0006-0000-0300-00006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61" authorId="0" shapeId="0" xr:uid="{00000000-0006-0000-0300-00006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62" authorId="0" shapeId="0" xr:uid="{00000000-0006-0000-0300-00006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63" authorId="0" shapeId="0" xr:uid="{00000000-0006-0000-0300-00006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64" authorId="0" shapeId="0" xr:uid="{00000000-0006-0000-0300-00006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69" authorId="0" shapeId="0" xr:uid="{00000000-0006-0000-0300-00006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70" authorId="0" shapeId="0" xr:uid="{00000000-0006-0000-0300-00006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72" authorId="0" shapeId="0" xr:uid="{00000000-0006-0000-0300-00006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280" authorId="0" shapeId="0" xr:uid="{00000000-0006-0000-0300-00007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81" authorId="0" shapeId="0" xr:uid="{00000000-0006-0000-0300-00007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83" authorId="0" shapeId="0" xr:uid="{00000000-0006-0000-0300-00007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284" authorId="0" shapeId="0" xr:uid="{00000000-0006-0000-0300-00007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2019</t>
        </r>
      </text>
    </comment>
    <comment ref="B300" authorId="0" shapeId="0" xr:uid="{00000000-0006-0000-0300-00007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06" authorId="0" shapeId="0" xr:uid="{00000000-0006-0000-0300-00007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07" authorId="0" shapeId="0" xr:uid="{00000000-0006-0000-0300-00007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26" authorId="0" shapeId="0" xr:uid="{00000000-0006-0000-0300-00007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28" authorId="0" shapeId="0" xr:uid="{00000000-0006-0000-0300-00007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30" authorId="0" shapeId="0" xr:uid="{00000000-0006-0000-0300-00007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32" authorId="0" shapeId="0" xr:uid="{00000000-0006-0000-0300-00007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33" authorId="0" shapeId="0" xr:uid="{00000000-0006-0000-0300-00007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34" authorId="0" shapeId="0" xr:uid="{00000000-0006-0000-0300-00007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44" authorId="0" shapeId="0" xr:uid="{00000000-0006-0000-0300-00007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63" authorId="0" shapeId="0" xr:uid="{00000000-0006-0000-0300-00007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368" authorId="0" shapeId="0" xr:uid="{00000000-0006-0000-0300-00007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A371" authorId="0" shapeId="0" xr:uid="{00000000-0006-0000-0300-00008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municipio. No reportaron IRCA 2020 tampoco  IRCA 2021.</t>
        </r>
      </text>
    </comment>
    <comment ref="A380" authorId="0" shapeId="0" xr:uid="{00000000-0006-0000-0300-000081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7" authorId="0" shapeId="0" xr:uid="{00000000-0006-0000-0300-000082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6" authorId="0" shapeId="0" xr:uid="{00000000-0006-0000-0300-00008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  <author>Usuario</author>
    <author>TAS_URRAO</author>
  </authors>
  <commentList>
    <comment ref="B51" authorId="0" shapeId="0" xr:uid="{00000000-0006-0000-04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54" authorId="0" shapeId="0" xr:uid="{00000000-0006-0000-0400-00000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59" authorId="0" shapeId="0" xr:uid="{00000000-0006-0000-0400-00000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0" authorId="0" shapeId="0" xr:uid="{00000000-0006-0000-0400-00000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61" authorId="0" shapeId="0" xr:uid="{00000000-0006-0000-04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65" authorId="0" shapeId="0" xr:uid="{00000000-0006-0000-04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67" authorId="0" shapeId="0" xr:uid="{00000000-0006-0000-0400-00000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69" authorId="0" shapeId="0" xr:uid="{00000000-0006-0000-04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73" authorId="0" shapeId="0" xr:uid="{00000000-0006-0000-04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A75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9" authorId="0" shapeId="0" xr:uid="{00000000-0006-0000-04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2" authorId="0" shapeId="0" xr:uid="{00000000-0006-0000-04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3" authorId="0" shapeId="0" xr:uid="{00000000-0006-0000-0400-00000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Información de la vigencia 2020</t>
        </r>
      </text>
    </comment>
    <comment ref="B97" authorId="0" shapeId="0" xr:uid="{00000000-0006-0000-0400-00000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A101" authorId="0" shapeId="0" xr:uid="{00000000-0006-0000-0400-00000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2020 para todos los datos de este  municipio. No reportaron IRCA 2021</t>
        </r>
      </text>
    </comment>
    <comment ref="B124" authorId="0" shapeId="0" xr:uid="{00000000-0006-0000-0400-00001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suscriptoresn de la vigencia 2020</t>
        </r>
      </text>
    </comment>
    <comment ref="B167" authorId="0" shapeId="0" xr:uid="{00000000-0006-0000-0400-00001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suscriptoresn de la vigencia 2021</t>
        </r>
      </text>
    </comment>
    <comment ref="B170" authorId="0" shapeId="0" xr:uid="{00000000-0006-0000-0400-00001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suscriptoresn de la vigencia 2021</t>
        </r>
      </text>
    </comment>
    <comment ref="B179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B180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192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B194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02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03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08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13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15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17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18" authorId="0" shapeId="0" xr:uid="{00000000-0006-0000-0400-00001D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19" authorId="0" shapeId="0" xr:uid="{00000000-0006-0000-0400-00001E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20" authorId="0" shapeId="0" xr:uid="{00000000-0006-0000-0400-00001F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21" authorId="0" shapeId="0" xr:uid="{00000000-0006-0000-0400-000020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22" authorId="0" shapeId="0" xr:uid="{00000000-0006-0000-0400-000021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23" authorId="0" shapeId="0" xr:uid="{00000000-0006-0000-0400-000022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24" authorId="0" shapeId="0" xr:uid="{00000000-0006-0000-0400-00002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25" authorId="0" shapeId="0" xr:uid="{00000000-0006-0000-0400-000024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28" authorId="0" shapeId="0" xr:uid="{00000000-0006-0000-0400-000025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B230" authorId="0" shapeId="0" xr:uid="{00000000-0006-0000-0400-000026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2" authorId="0" shapeId="0" xr:uid="{00000000-0006-0000-0400-000027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3" authorId="0" shapeId="0" xr:uid="{00000000-0006-0000-0400-000028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4" authorId="0" shapeId="0" xr:uid="{00000000-0006-0000-0400-000029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5" authorId="0" shapeId="0" xr:uid="{00000000-0006-0000-0400-00002A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6" authorId="0" shapeId="0" xr:uid="{00000000-0006-0000-0400-00002B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7" authorId="0" shapeId="0" xr:uid="{00000000-0006-0000-0400-00002C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8" authorId="0" shapeId="0" xr:uid="{00000000-0006-0000-0400-00002D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39" authorId="0" shapeId="0" xr:uid="{00000000-0006-0000-0400-00002E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44" authorId="0" shapeId="0" xr:uid="{00000000-0006-0000-0400-00002F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45" authorId="0" shapeId="0" xr:uid="{00000000-0006-0000-0400-000030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46" authorId="0" shapeId="0" xr:uid="{00000000-0006-0000-0400-000031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48" authorId="0" shapeId="0" xr:uid="{00000000-0006-0000-0400-000032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50" authorId="0" shapeId="0" xr:uid="{00000000-0006-0000-0400-00003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C251" authorId="1" shapeId="0" xr:uid="{00000000-0006-0000-0400-000034000000}">
      <text>
        <r>
          <rPr>
            <sz val="11"/>
            <color indexed="81"/>
            <rFont val="Arial"/>
            <family val="2"/>
          </rPr>
          <t>no  tiene tratamiento quimico del agua que suministra.</t>
        </r>
      </text>
    </comment>
    <comment ref="C252" authorId="1" shapeId="0" xr:uid="{00000000-0006-0000-0400-000035000000}">
      <text>
        <r>
          <rPr>
            <sz val="11"/>
            <color indexed="81"/>
            <rFont val="Arial"/>
            <family val="2"/>
          </rPr>
          <t>no  tiene tratamiento quimico del agua que suministra.</t>
        </r>
      </text>
    </comment>
    <comment ref="C253" authorId="1" shapeId="0" xr:uid="{00000000-0006-0000-0400-000036000000}">
      <text>
        <r>
          <rPr>
            <sz val="11"/>
            <color indexed="81"/>
            <rFont val="Arial"/>
            <family val="2"/>
          </rPr>
          <t>no tiene tratamiento quimico del agua que suministra.</t>
        </r>
      </text>
    </comment>
    <comment ref="C254" authorId="1" shapeId="0" xr:uid="{00000000-0006-0000-0400-000037000000}">
      <text>
        <r>
          <rPr>
            <sz val="11"/>
            <color indexed="81"/>
            <rFont val="Arial"/>
            <family val="2"/>
          </rPr>
          <t>no  tiene tratamiento quimico del agua que suministra.</t>
        </r>
      </text>
    </comment>
    <comment ref="C255" authorId="1" shapeId="0" xr:uid="{00000000-0006-0000-0400-000038000000}">
      <text>
        <r>
          <rPr>
            <sz val="11"/>
            <color indexed="81"/>
            <rFont val="Arial"/>
            <family val="2"/>
          </rPr>
          <t>cuenta con planta de tratamiento</t>
        </r>
      </text>
    </comment>
    <comment ref="C256" authorId="1" shapeId="0" xr:uid="{00000000-0006-0000-0400-000039000000}">
      <text>
        <r>
          <rPr>
            <sz val="11"/>
            <color indexed="81"/>
            <rFont val="Arial"/>
            <family val="2"/>
          </rPr>
          <t xml:space="preserve">cuanta con planta de tratamiento </t>
        </r>
      </text>
    </comment>
    <comment ref="C257" authorId="1" shapeId="0" xr:uid="{00000000-0006-0000-0400-00003A000000}">
      <text>
        <r>
          <rPr>
            <sz val="11"/>
            <color indexed="81"/>
            <rFont val="Arial"/>
            <family val="2"/>
          </rPr>
          <t>cuenta con planta de tratamiento</t>
        </r>
      </text>
    </comment>
    <comment ref="C258" authorId="1" shapeId="0" xr:uid="{00000000-0006-0000-0400-00003B000000}">
      <text>
        <r>
          <rPr>
            <sz val="11"/>
            <color indexed="81"/>
            <rFont val="Arial"/>
            <family val="2"/>
          </rPr>
          <t>cuenta con planta de tratamiento</t>
        </r>
      </text>
    </comment>
    <comment ref="C259" authorId="1" shapeId="0" xr:uid="{00000000-0006-0000-0400-00003C000000}">
      <text>
        <r>
          <rPr>
            <sz val="11"/>
            <color indexed="81"/>
            <rFont val="Arial"/>
            <family val="2"/>
          </rPr>
          <t xml:space="preserve">cuenta con planta de tratamiento </t>
        </r>
      </text>
    </comment>
    <comment ref="B263" authorId="0" shapeId="0" xr:uid="{00000000-0006-0000-0400-00003D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64" authorId="0" shapeId="0" xr:uid="{00000000-0006-0000-0400-00003E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65" authorId="0" shapeId="0" xr:uid="{00000000-0006-0000-0400-00003F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66" authorId="0" shapeId="0" xr:uid="{00000000-0006-0000-0400-000040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76" authorId="0" shapeId="0" xr:uid="{00000000-0006-0000-0400-000041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77" authorId="0" shapeId="0" xr:uid="{00000000-0006-0000-0400-000042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78" authorId="0" shapeId="0" xr:uid="{00000000-0006-0000-0400-00004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79" authorId="0" shapeId="0" xr:uid="{00000000-0006-0000-0400-000044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284" authorId="0" shapeId="0" xr:uid="{00000000-0006-0000-0400-000045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85" authorId="0" shapeId="0" xr:uid="{00000000-0006-0000-0400-000046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86" authorId="0" shapeId="0" xr:uid="{00000000-0006-0000-0400-000047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87" authorId="0" shapeId="0" xr:uid="{00000000-0006-0000-0400-000048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88" authorId="0" shapeId="0" xr:uid="{00000000-0006-0000-0400-000049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89" authorId="0" shapeId="0" xr:uid="{00000000-0006-0000-0400-00004A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0" authorId="0" shapeId="0" xr:uid="{00000000-0006-0000-0400-00004B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1" authorId="0" shapeId="0" xr:uid="{00000000-0006-0000-0400-00004C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2" authorId="0" shapeId="0" xr:uid="{00000000-0006-0000-0400-00004D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3" authorId="0" shapeId="0" xr:uid="{00000000-0006-0000-0400-00004E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4" authorId="0" shapeId="0" xr:uid="{00000000-0006-0000-0400-00004F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5" authorId="0" shapeId="0" xr:uid="{00000000-0006-0000-0400-000050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6" authorId="0" shapeId="0" xr:uid="{00000000-0006-0000-0400-000051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7" authorId="0" shapeId="0" xr:uid="{00000000-0006-0000-0400-000052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298" authorId="0" shapeId="0" xr:uid="{00000000-0006-0000-0400-00005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0" authorId="0" shapeId="0" xr:uid="{00000000-0006-0000-0400-000054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1" authorId="0" shapeId="0" xr:uid="{00000000-0006-0000-0400-000055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2" authorId="0" shapeId="0" xr:uid="{00000000-0006-0000-0400-000056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3" authorId="0" shapeId="0" xr:uid="{00000000-0006-0000-0400-000057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4" authorId="0" shapeId="0" xr:uid="{00000000-0006-0000-0400-000058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5" authorId="0" shapeId="0" xr:uid="{00000000-0006-0000-0400-000059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6" authorId="0" shapeId="0" xr:uid="{00000000-0006-0000-0400-00005A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7" authorId="0" shapeId="0" xr:uid="{00000000-0006-0000-0400-00005B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08" authorId="0" shapeId="0" xr:uid="{00000000-0006-0000-0400-00005C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B309" authorId="0" shapeId="0" xr:uid="{00000000-0006-0000-0400-00005D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B310" authorId="0" shapeId="0" xr:uid="{00000000-0006-0000-0400-00005E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12" authorId="0" shapeId="0" xr:uid="{00000000-0006-0000-0400-00005F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B314" authorId="0" shapeId="0" xr:uid="{00000000-0006-0000-0400-000060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15" authorId="0" shapeId="0" xr:uid="{00000000-0006-0000-0400-000061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316" authorId="0" shapeId="0" xr:uid="{00000000-0006-0000-0400-000062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B318" authorId="0" shapeId="0" xr:uid="{00000000-0006-0000-0400-00006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vigencia 2021  Numero de suscriptores vigencia 2020</t>
        </r>
      </text>
    </comment>
    <comment ref="C335" authorId="0" shapeId="0" xr:uid="{00000000-0006-0000-0400-00006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(planta no esta operando</t>
        </r>
        <r>
          <rPr>
            <sz val="9"/>
            <color indexed="81"/>
            <rFont val="Tahoma"/>
            <family val="2"/>
          </rPr>
          <t>)</t>
        </r>
      </text>
    </comment>
    <comment ref="C336" authorId="0" shapeId="0" xr:uid="{00000000-0006-0000-0400-000065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(Planta no esta realizando desinfeccion)</t>
        </r>
      </text>
    </comment>
    <comment ref="C343" authorId="0" shapeId="0" xr:uid="{00000000-0006-0000-0400-00006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(planta de tratamiento no esta operando)</t>
        </r>
      </text>
    </comment>
    <comment ref="B344" authorId="0" shapeId="0" xr:uid="{00000000-0006-0000-0400-000067000000}">
      <text>
        <r>
          <rPr>
            <sz val="12"/>
            <color indexed="81"/>
            <rFont val="Arial"/>
            <family val="2"/>
          </rPr>
          <t>S0488:
Informacion de la vigencia 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5" authorId="0" shapeId="0" xr:uid="{00000000-0006-0000-0400-00006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(Plantas no estan operando)</t>
        </r>
      </text>
    </comment>
    <comment ref="C346" authorId="0" shapeId="0" xr:uid="{00000000-0006-0000-0400-000069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(Planta de tratamiento, no funciona)</t>
        </r>
      </text>
    </comment>
    <comment ref="C347" authorId="0" shapeId="0" xr:uid="{00000000-0006-0000-0400-00006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(planta no esta operando)</t>
        </r>
      </text>
    </comment>
    <comment ref="C349" authorId="0" shapeId="0" xr:uid="{00000000-0006-0000-0400-00006B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(Conectada con la planta del Concilio)</t>
        </r>
      </text>
    </comment>
    <comment ref="C354" authorId="0" shapeId="0" xr:uid="{00000000-0006-0000-0400-00006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(planta no esta operando)</t>
        </r>
      </text>
    </comment>
    <comment ref="C355" authorId="0" shapeId="0" xr:uid="{00000000-0006-0000-0400-00006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(planta no esta operando)</t>
        </r>
      </text>
    </comment>
    <comment ref="C356" authorId="0" shapeId="0" xr:uid="{00000000-0006-0000-0400-00006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(planta de tratamiento no esta operando)</t>
        </r>
      </text>
    </comment>
    <comment ref="B379" authorId="0" shapeId="0" xr:uid="{00000000-0006-0000-0400-00006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4" authorId="0" shapeId="0" xr:uid="{00000000-0006-0000-0400-00007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7" authorId="0" shapeId="0" xr:uid="{00000000-0006-0000-0400-00007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27" authorId="0" shapeId="0" xr:uid="{00000000-0006-0000-0400-00007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35" authorId="0" shapeId="0" xr:uid="{00000000-0006-0000-0400-00007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C435" authorId="1" shapeId="0" xr:uid="{00000000-0006-0000-0400-00007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ACUEDUCTO NO ESTA LEGALIZADO</t>
        </r>
      </text>
    </comment>
    <comment ref="C436" authorId="1" shapeId="0" xr:uid="{00000000-0006-0000-0400-000075000000}">
      <text>
        <r>
          <rPr>
            <sz val="10"/>
            <color indexed="81"/>
            <rFont val="Arial"/>
            <family val="2"/>
          </rPr>
          <t>ACUEDUCTO NO ESTÁ LEGALIZADO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C438" authorId="1" shapeId="0" xr:uid="{00000000-0006-0000-0400-000076000000}">
      <text>
        <r>
          <rPr>
            <sz val="10"/>
            <color indexed="81"/>
            <rFont val="Arial"/>
            <family val="2"/>
          </rPr>
          <t>ACUEDUCTO NO ESTA LEGALIZADO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1" authorId="0" shapeId="0" xr:uid="{00000000-0006-0000-0400-000077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444" authorId="0" shapeId="0" xr:uid="{00000000-0006-0000-0400-000078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C468" authorId="0" shapeId="0" xr:uid="{00000000-0006-0000-0400-000079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No se encuentra registrado en sivicap</t>
        </r>
      </text>
    </comment>
    <comment ref="B471" authorId="0" shapeId="0" xr:uid="{00000000-0006-0000-0400-00007A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2020</t>
        </r>
      </text>
    </comment>
    <comment ref="B476" authorId="0" shapeId="0" xr:uid="{00000000-0006-0000-0400-00007B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Informacion de la vigencia 2019</t>
        </r>
      </text>
    </comment>
    <comment ref="B477" authorId="2" shapeId="0" xr:uid="{00000000-0006-0000-0400-00007C000000}">
      <text>
        <r>
          <rPr>
            <b/>
            <sz val="12"/>
            <color indexed="81"/>
            <rFont val="Arial"/>
            <family val="2"/>
          </rPr>
          <t>TAS_URRAO:</t>
        </r>
        <r>
          <rPr>
            <sz val="12"/>
            <color indexed="81"/>
            <rFont val="Arial"/>
            <family val="2"/>
          </rPr>
          <t xml:space="preserve">
acuedcuto en remodelacion esta a tres dias de camino </t>
        </r>
      </text>
    </comment>
    <comment ref="B487" authorId="0" shapeId="0" xr:uid="{00000000-0006-0000-0400-00007D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Numero de suscriptores vigencia 2020</t>
        </r>
      </text>
    </comment>
    <comment ref="B493" authorId="1" shapeId="0" xr:uid="{00000000-0006-0000-0400-00007E000000}">
      <text>
        <r>
          <rPr>
            <sz val="10"/>
            <color indexed="81"/>
            <rFont val="Arial"/>
            <family val="2"/>
          </rPr>
          <t>INFORMACION DEL AÑO 2018</t>
        </r>
      </text>
    </comment>
    <comment ref="B497" authorId="0" shapeId="0" xr:uid="{00000000-0006-0000-0400-00007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</authors>
  <commentList>
    <comment ref="B18" authorId="0" shapeId="0" xr:uid="{00000000-0006-0000-05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el sistema no esta operando por fallas en el sistema de bombeo</t>
        </r>
      </text>
    </comment>
    <comment ref="B20" authorId="0" shapeId="0" xr:uid="{00000000-0006-0000-0500-00000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El sistema cuenta con 8 conexiones</t>
        </r>
      </text>
    </comment>
    <comment ref="B22" authorId="0" shapeId="0" xr:uid="{00000000-0006-0000-0500-00000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A2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 xr:uid="{00000000-0006-0000-05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cuenta con 7 conexiones, no se puede ingresar por motivos de orden publico</t>
        </r>
      </text>
    </comment>
    <comment ref="B40" authorId="0" shapeId="0" xr:uid="{00000000-0006-0000-05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A41" authorId="0" shapeId="0" xr:uid="{00000000-0006-0000-0500-00000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municipio. No reportaron IRCA 2020 tampoco IRCA 2021</t>
        </r>
      </text>
    </comment>
    <comment ref="B44" authorId="0" shapeId="0" xr:uid="{00000000-0006-0000-05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6" authorId="0" shapeId="0" xr:uid="{00000000-0006-0000-05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7" authorId="0" shapeId="0" xr:uid="{00000000-0006-0000-0500-00000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8" authorId="0" shapeId="0" xr:uid="{00000000-0006-0000-05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50" authorId="0" shapeId="0" xr:uid="{00000000-0006-0000-05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51" authorId="0" shapeId="0" xr:uid="{00000000-0006-0000-0500-00000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52" authorId="0" shapeId="0" xr:uid="{00000000-0006-0000-0500-00000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A53" authorId="0" shapeId="0" xr:uid="{00000000-0006-0000-0500-00000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municipio. No reportaron IRCA 2020 tampoco IRCA 2021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</authors>
  <commentList>
    <comment ref="B25" authorId="0" shapeId="0" xr:uid="{00000000-0006-0000-06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A26" authorId="0" shapeId="0" xr:uid="{00000000-0006-0000-0600-00000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2020 para todos los datos de este  municipio. No reportaron IRCA 2021</t>
        </r>
      </text>
    </comment>
    <comment ref="B41" authorId="0" shapeId="0" xr:uid="{00000000-0006-0000-0600-00000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2" authorId="0" shapeId="0" xr:uid="{00000000-0006-0000-0600-00000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3" authorId="0" shapeId="0" xr:uid="{00000000-0006-0000-06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" authorId="0" shapeId="0" xr:uid="{00000000-0006-0000-06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5" authorId="0" shapeId="0" xr:uid="{00000000-0006-0000-0600-00000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46" authorId="0" shapeId="0" xr:uid="{00000000-0006-0000-06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8" authorId="0" shapeId="0" xr:uid="{00000000-0006-0000-06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58" authorId="0" shapeId="0" xr:uid="{00000000-0006-0000-0600-00000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71" authorId="0" shapeId="0" xr:uid="{00000000-0006-0000-06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75" authorId="0" shapeId="0" xr:uid="{00000000-0006-0000-06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</authors>
  <commentList>
    <comment ref="B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Arial"/>
            <family val="2"/>
          </rPr>
          <t>nformacion de la vigencia 2020</t>
        </r>
      </text>
    </comment>
    <comment ref="B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Arial"/>
            <family val="2"/>
          </rPr>
          <t>nformacion de la vigencia 2020</t>
        </r>
      </text>
    </comment>
    <comment ref="B1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Arial"/>
            <family val="2"/>
          </rPr>
          <t>nformacion de la vigencia 2020</t>
        </r>
      </text>
    </comment>
    <comment ref="B1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Arial"/>
            <family val="2"/>
          </rPr>
          <t>nformacion de la vigencia 2020</t>
        </r>
      </text>
    </comment>
    <comment ref="B16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Arial"/>
            <family val="2"/>
          </rPr>
          <t>nformacion de la vigencia 2020</t>
        </r>
      </text>
    </comment>
    <comment ref="B17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Arial"/>
            <family val="2"/>
          </rPr>
          <t>nformacion de la vigencia 2020</t>
        </r>
      </text>
    </comment>
    <comment ref="B20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Arial"/>
            <family val="2"/>
          </rPr>
          <t>nformacion de la vigencia 2020</t>
        </r>
      </text>
    </comment>
    <comment ref="B26" authorId="0" shapeId="0" xr:uid="{00000000-0006-0000-07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27" authorId="0" shapeId="0" xr:uid="{00000000-0006-0000-07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B28" authorId="0" shapeId="0" xr:uid="{00000000-0006-0000-0700-00000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2020.
Numero de suscriptores 2021</t>
        </r>
      </text>
    </comment>
    <comment ref="B29" authorId="0" shapeId="0" xr:uid="{00000000-0006-0000-07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2019.
Numero de suscriptores 2021</t>
        </r>
      </text>
    </comment>
    <comment ref="B30" authorId="0" shapeId="0" xr:uid="{00000000-0006-0000-07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2021</t>
        </r>
      </text>
    </comment>
    <comment ref="C64" authorId="0" shapeId="0" xr:uid="{00000000-0006-0000-0700-00000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68" authorId="0" shapeId="0" xr:uid="{00000000-0006-0000-0700-00000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planta no esta fuencinamiento no funciona por falta de capacitacion.
Esperando dato de la TAS</t>
        </r>
      </text>
    </comment>
    <comment ref="B69" authorId="0" shapeId="0" xr:uid="{00000000-0006-0000-0700-00000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planta no esta fuencinamiento no funciona por falta de capacitacion.
Esperando dato de la TAS</t>
        </r>
      </text>
    </comment>
    <comment ref="B86" authorId="0" shapeId="0" xr:uid="{00000000-0006-0000-0700-00001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A102" authorId="0" shapeId="0" xr:uid="{00000000-0006-0000-0700-00001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municipio. No reportaron IRCA 2020 tampoco IRCA 2021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S0488</author>
    <author>Usuario</author>
  </authors>
  <commentList>
    <comment ref="A12" authorId="0" shapeId="0" xr:uid="{00000000-0006-0000-0800-00000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 exceptuando VEREDA CANOAS LA ESPERANZA.
 No reportaron IRCA 2021</t>
        </r>
      </text>
    </comment>
    <comment ref="B20" authorId="0" shapeId="0" xr:uid="{00000000-0006-0000-0800-00000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77" authorId="0" shapeId="0" xr:uid="{00000000-0006-0000-0800-00000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2019</t>
        </r>
      </text>
    </comment>
    <comment ref="B90" authorId="0" shapeId="0" xr:uid="{00000000-0006-0000-0800-00000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1" authorId="0" shapeId="0" xr:uid="{00000000-0006-0000-0800-00000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2" authorId="0" shapeId="0" xr:uid="{00000000-0006-0000-0800-00000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3" authorId="0" shapeId="0" xr:uid="{00000000-0006-0000-0800-00000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4" authorId="0" shapeId="0" xr:uid="{00000000-0006-0000-0800-00000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5" authorId="0" shapeId="0" xr:uid="{00000000-0006-0000-0800-00000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6" authorId="0" shapeId="0" xr:uid="{00000000-0006-0000-0800-00000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7" authorId="0" shapeId="0" xr:uid="{00000000-0006-0000-0800-00000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8" authorId="0" shapeId="0" xr:uid="{00000000-0006-0000-0800-00000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99" authorId="0" shapeId="0" xr:uid="{00000000-0006-0000-0800-00000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0" authorId="0" shapeId="0" xr:uid="{00000000-0006-0000-0800-00000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1" authorId="0" shapeId="0" xr:uid="{00000000-0006-0000-0800-00000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2" authorId="0" shapeId="0" xr:uid="{00000000-0006-0000-0800-00001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3" authorId="0" shapeId="0" xr:uid="{00000000-0006-0000-0800-00001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4" authorId="0" shapeId="0" xr:uid="{00000000-0006-0000-0800-00001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5" authorId="0" shapeId="0" xr:uid="{00000000-0006-0000-0800-00001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6" authorId="0" shapeId="0" xr:uid="{00000000-0006-0000-0800-00001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07" authorId="0" shapeId="0" xr:uid="{00000000-0006-0000-0800-000015000000}">
      <text>
        <r>
          <rPr>
            <b/>
            <sz val="12"/>
            <color indexed="81"/>
            <rFont val="Tahoma"/>
            <family val="2"/>
          </rPr>
          <t>S0488:</t>
        </r>
        <r>
          <rPr>
            <sz val="12"/>
            <color indexed="81"/>
            <rFont val="Tahoma"/>
            <family val="2"/>
          </rPr>
          <t xml:space="preserve">
No se encuentra registrado en sivicap</t>
        </r>
      </text>
    </comment>
    <comment ref="B108" authorId="0" shapeId="0" xr:uid="{00000000-0006-0000-0800-000016000000}">
      <text>
        <r>
          <rPr>
            <b/>
            <sz val="12"/>
            <color indexed="81"/>
            <rFont val="Tahoma"/>
            <family val="2"/>
          </rPr>
          <t>S0488:</t>
        </r>
        <r>
          <rPr>
            <sz val="12"/>
            <color indexed="81"/>
            <rFont val="Tahoma"/>
            <family val="2"/>
          </rPr>
          <t xml:space="preserve">
No se encuentra registrado en sivicap</t>
        </r>
      </text>
    </comment>
    <comment ref="B110" authorId="0" shapeId="0" xr:uid="{00000000-0006-0000-0800-00001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1" authorId="0" shapeId="0" xr:uid="{00000000-0006-0000-0800-00001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2" authorId="0" shapeId="0" xr:uid="{00000000-0006-0000-0800-00001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3" authorId="0" shapeId="0" xr:uid="{00000000-0006-0000-0800-00001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4" authorId="0" shapeId="0" xr:uid="{00000000-0006-0000-0800-00001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5" authorId="0" shapeId="0" xr:uid="{00000000-0006-0000-0800-00001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6" authorId="0" shapeId="0" xr:uid="{00000000-0006-0000-0800-00001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7" authorId="0" shapeId="0" xr:uid="{00000000-0006-0000-0800-00001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8" authorId="0" shapeId="0" xr:uid="{00000000-0006-0000-0800-00001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19" authorId="0" shapeId="0" xr:uid="{00000000-0006-0000-0800-00002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20" authorId="0" shapeId="0" xr:uid="{00000000-0006-0000-0800-00002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21" authorId="0" shapeId="0" xr:uid="{00000000-0006-0000-0800-00002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22" authorId="0" shapeId="0" xr:uid="{00000000-0006-0000-0800-00002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23" authorId="0" shapeId="0" xr:uid="{00000000-0006-0000-0800-00002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24" authorId="0" shapeId="0" xr:uid="{00000000-0006-0000-0800-00002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25" authorId="0" shapeId="0" xr:uid="{00000000-0006-0000-0800-00002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de la vigencia 2020</t>
        </r>
      </text>
    </comment>
    <comment ref="B154" authorId="0" shapeId="0" xr:uid="{00000000-0006-0000-0800-00002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55" authorId="0" shapeId="0" xr:uid="{00000000-0006-0000-0800-00002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56" authorId="0" shapeId="0" xr:uid="{00000000-0006-0000-0800-00002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58" authorId="0" shapeId="0" xr:uid="{00000000-0006-0000-0800-00002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59" authorId="0" shapeId="0" xr:uid="{00000000-0006-0000-0800-00002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60" authorId="0" shapeId="0" xr:uid="{00000000-0006-0000-0800-00002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65" authorId="0" shapeId="0" xr:uid="{00000000-0006-0000-0800-00002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67" authorId="0" shapeId="0" xr:uid="{00000000-0006-0000-0800-00002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68" authorId="0" shapeId="0" xr:uid="{00000000-0006-0000-0800-00002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0" authorId="0" shapeId="0" xr:uid="{00000000-0006-0000-0800-00003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1" authorId="0" shapeId="0" xr:uid="{00000000-0006-0000-0800-00003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2" authorId="0" shapeId="0" xr:uid="{00000000-0006-0000-0800-00003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3" authorId="0" shapeId="0" xr:uid="{00000000-0006-0000-0800-00003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4" authorId="0" shapeId="0" xr:uid="{00000000-0006-0000-0800-00003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5" authorId="0" shapeId="0" xr:uid="{00000000-0006-0000-0800-00003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6" authorId="0" shapeId="0" xr:uid="{00000000-0006-0000-0800-00003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7" authorId="0" shapeId="0" xr:uid="{00000000-0006-0000-0800-00003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8" authorId="0" shapeId="0" xr:uid="{00000000-0006-0000-0800-00003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79" authorId="0" shapeId="0" xr:uid="{00000000-0006-0000-0800-00003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80" authorId="0" shapeId="0" xr:uid="{00000000-0006-0000-0800-00003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181" authorId="0" shapeId="0" xr:uid="{00000000-0006-0000-0800-00003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A182" authorId="0" shapeId="0" xr:uid="{00000000-0006-0000-0800-00003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2020 para todos los datos de este  municipio. No reportaron IRCA 2021</t>
        </r>
      </text>
    </comment>
    <comment ref="A204" authorId="0" shapeId="0" xr:uid="{00000000-0006-0000-0800-00003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2020 para todos los datos de este  municipio. No reportaron IRCA 2021</t>
        </r>
      </text>
    </comment>
    <comment ref="A248" authorId="0" shapeId="0" xr:uid="{00000000-0006-0000-0800-00003E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1" authorId="0" shapeId="0" xr:uid="{00000000-0006-0000-0800-00003F000000}">
      <text>
        <r>
          <rPr>
            <b/>
            <sz val="9"/>
            <color indexed="81"/>
            <rFont val="Tahoma"/>
            <family val="2"/>
          </rPr>
          <t>S0488: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Esta registrado en sivicap,no esta en el archivo de conceptos, no hay AIS.No tiene numero de suscriptores.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0" authorId="0" shapeId="0" xr:uid="{00000000-0006-0000-0800-00004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2020 para todos los datos de este  municipio. No reportaron IRCA 2021</t>
        </r>
      </text>
    </comment>
    <comment ref="B330" authorId="0" shapeId="0" xr:uid="{00000000-0006-0000-0800-00004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33" authorId="0" shapeId="0" xr:uid="{00000000-0006-0000-0800-00004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44" authorId="0" shapeId="0" xr:uid="{00000000-0006-0000-0800-00004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2020</t>
        </r>
      </text>
    </comment>
    <comment ref="B347" authorId="0" shapeId="0" xr:uid="{00000000-0006-0000-0800-00004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2019</t>
        </r>
      </text>
    </comment>
    <comment ref="B369" authorId="0" shapeId="0" xr:uid="{00000000-0006-0000-0800-00004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70" authorId="0" shapeId="0" xr:uid="{00000000-0006-0000-0800-00004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75" authorId="0" shapeId="0" xr:uid="{00000000-0006-0000-0800-00004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76" authorId="0" shapeId="0" xr:uid="{00000000-0006-0000-0800-00004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77" authorId="0" shapeId="0" xr:uid="{00000000-0006-0000-0800-00004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78" authorId="0" shapeId="0" xr:uid="{00000000-0006-0000-0800-00004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83" authorId="0" shapeId="0" xr:uid="{00000000-0006-0000-0800-00004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84" authorId="0" shapeId="0" xr:uid="{00000000-0006-0000-0800-00004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85" authorId="0" shapeId="0" xr:uid="{00000000-0006-0000-0800-00004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86" authorId="0" shapeId="0" xr:uid="{00000000-0006-0000-0800-00004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87" authorId="0" shapeId="0" xr:uid="{00000000-0006-0000-0800-00004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88" authorId="0" shapeId="0" xr:uid="{00000000-0006-0000-0800-00005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89" authorId="0" shapeId="0" xr:uid="{00000000-0006-0000-0800-00005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0" authorId="0" shapeId="0" xr:uid="{00000000-0006-0000-0800-00005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1" authorId="0" shapeId="0" xr:uid="{00000000-0006-0000-0800-00005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2" authorId="0" shapeId="0" xr:uid="{00000000-0006-0000-0800-00005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3" authorId="0" shapeId="0" xr:uid="{00000000-0006-0000-0800-00005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4" authorId="0" shapeId="0" xr:uid="{00000000-0006-0000-0800-00005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5" authorId="0" shapeId="0" xr:uid="{00000000-0006-0000-0800-00005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6" authorId="0" shapeId="0" xr:uid="{00000000-0006-0000-0800-00005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397" authorId="0" shapeId="0" xr:uid="{00000000-0006-0000-0800-00005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2" authorId="0" shapeId="0" xr:uid="{00000000-0006-0000-0800-00005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3" authorId="0" shapeId="0" xr:uid="{00000000-0006-0000-0800-00005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4" authorId="0" shapeId="0" xr:uid="{00000000-0006-0000-0800-00005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5" authorId="0" shapeId="0" xr:uid="{00000000-0006-0000-0800-00005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6" authorId="0" shapeId="0" xr:uid="{00000000-0006-0000-0800-00005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7" authorId="0" shapeId="0" xr:uid="{00000000-0006-0000-0800-00005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49" authorId="0" shapeId="0" xr:uid="{00000000-0006-0000-0800-00006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50" authorId="0" shapeId="0" xr:uid="{00000000-0006-0000-0800-00006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53" authorId="0" shapeId="0" xr:uid="{00000000-0006-0000-0800-00006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55" authorId="0" shapeId="0" xr:uid="{00000000-0006-0000-0800-00006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56" authorId="0" shapeId="0" xr:uid="{00000000-0006-0000-0800-00006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A457" authorId="0" shapeId="0" xr:uid="{00000000-0006-0000-0800-00006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Informacionde la vigencia 2019 para todos los datos de este  municipio. No reportaron IRCA 2020 tampoco IRCA 2021</t>
        </r>
      </text>
    </comment>
    <comment ref="B482" authorId="0" shapeId="0" xr:uid="{00000000-0006-0000-0800-00006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83" authorId="0" shapeId="0" xr:uid="{00000000-0006-0000-0800-00006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87" authorId="0" shapeId="0" xr:uid="{00000000-0006-0000-0800-00006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B490" authorId="0" shapeId="0" xr:uid="{00000000-0006-0000-0800-00006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A491" authorId="0" shapeId="0" xr:uid="{00000000-0006-0000-0800-00006A000000}">
      <text>
        <r>
          <rPr>
            <b/>
            <sz val="11"/>
            <color indexed="81"/>
            <rFont val="Arial"/>
            <family val="2"/>
          </rPr>
          <t>S0488:</t>
        </r>
        <r>
          <rPr>
            <sz val="11"/>
            <color indexed="81"/>
            <rFont val="Arial"/>
            <family val="2"/>
          </rPr>
          <t xml:space="preserve">
No se encuentran datos de suscrptores,no esta registrado en sivicap, no esta en consolidado de conceptos y no hay AIS 2021</t>
        </r>
      </text>
    </comment>
    <comment ref="B492" authorId="0" shapeId="0" xr:uid="{00000000-0006-0000-0800-00006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493" authorId="0" shapeId="0" xr:uid="{00000000-0006-0000-0800-00006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494" authorId="0" shapeId="0" xr:uid="{00000000-0006-0000-0800-00006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495" authorId="0" shapeId="0" xr:uid="{00000000-0006-0000-0800-00006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496" authorId="0" shapeId="0" xr:uid="{00000000-0006-0000-0800-00006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00" authorId="0" shapeId="0" xr:uid="{00000000-0006-0000-0800-00007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01" authorId="0" shapeId="0" xr:uid="{00000000-0006-0000-0800-00007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02" authorId="0" shapeId="0" xr:uid="{00000000-0006-0000-0800-000072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03" authorId="0" shapeId="0" xr:uid="{00000000-0006-0000-0800-000073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04" authorId="0" shapeId="0" xr:uid="{00000000-0006-0000-0800-000074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06" authorId="0" shapeId="0" xr:uid="{00000000-0006-0000-0800-000075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08" authorId="0" shapeId="0" xr:uid="{00000000-0006-0000-0800-000076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10" authorId="0" shapeId="0" xr:uid="{00000000-0006-0000-0800-000077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12" authorId="0" shapeId="0" xr:uid="{00000000-0006-0000-0800-000078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13" authorId="0" shapeId="0" xr:uid="{00000000-0006-0000-0800-000079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14" authorId="0" shapeId="0" xr:uid="{00000000-0006-0000-0800-00007A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15" authorId="0" shapeId="0" xr:uid="{00000000-0006-0000-0800-00007B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23" authorId="0" shapeId="0" xr:uid="{00000000-0006-0000-0800-00007C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25" authorId="0" shapeId="0" xr:uid="{00000000-0006-0000-0800-00007D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28" authorId="0" shapeId="0" xr:uid="{00000000-0006-0000-0800-00007E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29" authorId="0" shapeId="0" xr:uid="{00000000-0006-0000-0800-00007F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35" authorId="0" shapeId="0" xr:uid="{00000000-0006-0000-0800-000080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Numero de suscriptores vigencia 2020</t>
        </r>
      </text>
    </comment>
    <comment ref="B547" authorId="0" shapeId="0" xr:uid="{00000000-0006-0000-0800-000081000000}">
      <text>
        <r>
          <rPr>
            <b/>
            <sz val="12"/>
            <color indexed="81"/>
            <rFont val="Arial"/>
            <family val="2"/>
          </rPr>
          <t>S0488:</t>
        </r>
        <r>
          <rPr>
            <sz val="12"/>
            <color indexed="81"/>
            <rFont val="Arial"/>
            <family val="2"/>
          </rPr>
          <t xml:space="preserve">
Informacion de la vigencia 2020</t>
        </r>
      </text>
    </comment>
    <comment ref="C548" authorId="1" shapeId="0" xr:uid="{00000000-0006-0000-0800-000082000000}">
      <text>
        <r>
          <rPr>
            <sz val="10"/>
            <color indexed="81"/>
            <rFont val="Arial"/>
            <family val="2"/>
          </rPr>
          <t>INFORMACION DEL AÑO 2018</t>
        </r>
      </text>
    </comment>
  </commentList>
</comments>
</file>

<file path=xl/sharedStrings.xml><?xml version="1.0" encoding="utf-8"?>
<sst xmlns="http://schemas.openxmlformats.org/spreadsheetml/2006/main" count="8112" uniqueCount="4480">
  <si>
    <t>Vereda Santa Ana</t>
  </si>
  <si>
    <t>Vereda Guayabal</t>
  </si>
  <si>
    <t>Vereda La Florida</t>
  </si>
  <si>
    <t>Vereda Buena Vista</t>
  </si>
  <si>
    <t>Corregimiento El Tres</t>
  </si>
  <si>
    <t>Vereda El Roble</t>
  </si>
  <si>
    <t>Vereda Santa Catalina</t>
  </si>
  <si>
    <t>Santo Domingo</t>
  </si>
  <si>
    <t>Vereda La Palma</t>
  </si>
  <si>
    <t>Vereda San Francisco</t>
  </si>
  <si>
    <t>Vereda La Quiebra</t>
  </si>
  <si>
    <t>Municipio</t>
  </si>
  <si>
    <t>Vereda Potrerito</t>
  </si>
  <si>
    <t>Corregimiento Puerto Belgica</t>
  </si>
  <si>
    <t>Corregimiento Guarumo</t>
  </si>
  <si>
    <t>Nechi</t>
  </si>
  <si>
    <t>Vereda El Guadual</t>
  </si>
  <si>
    <t>Vereda La Estrella</t>
  </si>
  <si>
    <t>Vereda La Mina</t>
  </si>
  <si>
    <t>Vereda San Luis</t>
  </si>
  <si>
    <t>Vereda La Clara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</si>
  <si>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</si>
  <si>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</si>
  <si>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</si>
  <si>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</si>
  <si>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</si>
  <si>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</si>
  <si>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</si>
  <si>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</si>
  <si>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</si>
  <si>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</si>
  <si>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</si>
  <si>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</si>
  <si>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INDICE DE RIESGO DE CALIDAD DEL AGUA - IRCA- %</t>
  </si>
  <si>
    <t>% IRCA  ACOMULADO</t>
  </si>
  <si>
    <t>NIVEL DE RIESGO</t>
  </si>
  <si>
    <t>APTA PARA CONSUMO HUMANO</t>
  </si>
  <si>
    <t>MUNICIPIO</t>
  </si>
  <si>
    <t>LOCALIDAD(VEREDA)</t>
  </si>
  <si>
    <t>Vereda Mocorongo</t>
  </si>
  <si>
    <t>Vereda Graciano</t>
  </si>
  <si>
    <t>Vereda Aguas Claras Arriba</t>
  </si>
  <si>
    <t>Vereda Chorrohondo La Meseta</t>
  </si>
  <si>
    <t>Vereda El Guayabo</t>
  </si>
  <si>
    <t>La Ceja</t>
  </si>
  <si>
    <t>Vereda La Virgen</t>
  </si>
  <si>
    <t>Betulia</t>
  </si>
  <si>
    <t>Vereda La Cascada</t>
  </si>
  <si>
    <t>Vereda San Pablo</t>
  </si>
  <si>
    <t>Vereda Quebrada Arriba</t>
  </si>
  <si>
    <t>Corregimento Las Flores</t>
  </si>
  <si>
    <t>Vereda La Meseta</t>
  </si>
  <si>
    <t>San Carlos</t>
  </si>
  <si>
    <t>Vereda Monteloro</t>
  </si>
  <si>
    <t>Puerto Triunfo</t>
  </si>
  <si>
    <t>Junta de Accion Comunal</t>
  </si>
  <si>
    <t>Corregimiento Buenos Aires</t>
  </si>
  <si>
    <t>Vereda Malpaso</t>
  </si>
  <si>
    <t>Vereda Quebradona Abajo</t>
  </si>
  <si>
    <t>Vereda La Peña</t>
  </si>
  <si>
    <t>Vereda La Montañita</t>
  </si>
  <si>
    <t>Vereda El Cerro</t>
  </si>
  <si>
    <t>Vereda El Vergel</t>
  </si>
  <si>
    <t>Vereda El Zancudo</t>
  </si>
  <si>
    <t>Vereda El Porvenir</t>
  </si>
  <si>
    <t>Vereda San Rafael</t>
  </si>
  <si>
    <t>Vereda La Chorrera</t>
  </si>
  <si>
    <t xml:space="preserve">Vereda El Sesenta </t>
  </si>
  <si>
    <t>Vereda El Salado</t>
  </si>
  <si>
    <t>Vereda La Playa</t>
  </si>
  <si>
    <t>Vereda Buenos Aires</t>
  </si>
  <si>
    <t>Vereda Chontadural</t>
  </si>
  <si>
    <t>Vereda Los Cedros</t>
  </si>
  <si>
    <t>San Luis</t>
  </si>
  <si>
    <t>Vereda CharcoVerde</t>
  </si>
  <si>
    <t xml:space="preserve">Vereda La Unión </t>
  </si>
  <si>
    <t>Vereda La Primavera</t>
  </si>
  <si>
    <t>Barbosa</t>
  </si>
  <si>
    <t>Bello</t>
  </si>
  <si>
    <t>Girardota</t>
  </si>
  <si>
    <t>Rionegro</t>
  </si>
  <si>
    <t>Murindo</t>
  </si>
  <si>
    <t>Vereda Zumbido Medio</t>
  </si>
  <si>
    <t>Asociación de Usuarios de Acueducto y Alcantarillado de la Vereda La Matica Baja</t>
  </si>
  <si>
    <t>Vereda La Matica Baja</t>
  </si>
  <si>
    <t>Armenia</t>
  </si>
  <si>
    <t>Vereda Sabaneta</t>
  </si>
  <si>
    <t>Vereda Maria Auxiliadora</t>
  </si>
  <si>
    <t>Vereda Las Lomitas</t>
  </si>
  <si>
    <t>Vereda La Doctora</t>
  </si>
  <si>
    <t>Vereda San José</t>
  </si>
  <si>
    <t>Vereda Cañaveralejo</t>
  </si>
  <si>
    <t>Vereda Pan de Azucar</t>
  </si>
  <si>
    <t>San Rafael</t>
  </si>
  <si>
    <t>Vereda San Andres</t>
  </si>
  <si>
    <t>Vereda San Isidro</t>
  </si>
  <si>
    <t>Vereda Guadual</t>
  </si>
  <si>
    <t>Vereda El Barro</t>
  </si>
  <si>
    <t>REGIONAL</t>
  </si>
  <si>
    <t>VEREDAS MUNICIPIO</t>
  </si>
  <si>
    <t>TOTAL SISTEMAS</t>
  </si>
  <si>
    <t>%</t>
  </si>
  <si>
    <t>Medellín</t>
  </si>
  <si>
    <t>Caldas</t>
  </si>
  <si>
    <t>Copacabana</t>
  </si>
  <si>
    <t>Itagui</t>
  </si>
  <si>
    <t>Envigado</t>
  </si>
  <si>
    <t>Sabaneta</t>
  </si>
  <si>
    <t>La Estrella</t>
  </si>
  <si>
    <t>SUBTOTAL</t>
  </si>
  <si>
    <t>URABA</t>
  </si>
  <si>
    <t>Apartado</t>
  </si>
  <si>
    <t>Arboletes</t>
  </si>
  <si>
    <t>Carepa</t>
  </si>
  <si>
    <t>Chigorodo</t>
  </si>
  <si>
    <t>Mutata</t>
  </si>
  <si>
    <t>Necocli</t>
  </si>
  <si>
    <t>San Juan de Urabá</t>
  </si>
  <si>
    <t>San Pedro de Urabá</t>
  </si>
  <si>
    <t>Vigía del Fuerte</t>
  </si>
  <si>
    <t>Turbo</t>
  </si>
  <si>
    <t>NORTE</t>
  </si>
  <si>
    <t>Angostura</t>
  </si>
  <si>
    <t>Belmira</t>
  </si>
  <si>
    <t>Briceño</t>
  </si>
  <si>
    <t>Campamento</t>
  </si>
  <si>
    <t>Carolina del Príncipe</t>
  </si>
  <si>
    <t>Don Matías</t>
  </si>
  <si>
    <t>Gómez Plata</t>
  </si>
  <si>
    <t>Guadalupe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</si>
  <si>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</si>
  <si>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</si>
  <si>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</si>
  <si>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</si>
  <si>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</si>
  <si>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</si>
  <si>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</si>
  <si>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Yarumal</t>
  </si>
  <si>
    <t>OCCIDENTE</t>
  </si>
  <si>
    <t>Abriaqui</t>
  </si>
  <si>
    <t>Anza</t>
  </si>
  <si>
    <t>Buritica</t>
  </si>
  <si>
    <t>Cañas gordas</t>
  </si>
  <si>
    <t>Dabeiba</t>
  </si>
  <si>
    <t>Ebejico</t>
  </si>
  <si>
    <t>Frontino</t>
  </si>
  <si>
    <t>Caicedo</t>
  </si>
  <si>
    <t>Giraldo</t>
  </si>
  <si>
    <t>Heliconia</t>
  </si>
  <si>
    <t>Liborina</t>
  </si>
  <si>
    <t>Olaya</t>
  </si>
  <si>
    <t>Peque</t>
  </si>
  <si>
    <t>Sabanalarga</t>
  </si>
  <si>
    <t>San Jerónimo</t>
  </si>
  <si>
    <t>Santa Fe de Antioquia</t>
  </si>
  <si>
    <t>Sopetran</t>
  </si>
  <si>
    <t>Uramita</t>
  </si>
  <si>
    <t>SUROESTE</t>
  </si>
  <si>
    <t>Amaga</t>
  </si>
  <si>
    <t>Andes</t>
  </si>
  <si>
    <t>Betania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</si>
  <si>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</si>
  <si>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</si>
  <si>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</si>
  <si>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</si>
  <si>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</si>
  <si>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</si>
  <si>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</si>
  <si>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</si>
  <si>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</si>
  <si>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</si>
  <si>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</si>
  <si>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</si>
  <si>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Tamesis</t>
  </si>
  <si>
    <t>Tarso</t>
  </si>
  <si>
    <t>Titiribí</t>
  </si>
  <si>
    <t>Urrao</t>
  </si>
  <si>
    <t>Valparaíso</t>
  </si>
  <si>
    <t>Venecia</t>
  </si>
  <si>
    <t>BAJO CAUCA</t>
  </si>
  <si>
    <t>Caucasia</t>
  </si>
  <si>
    <t>Cáceres</t>
  </si>
  <si>
    <t>El Bagre</t>
  </si>
  <si>
    <t>Tarazá</t>
  </si>
  <si>
    <t>Zaragoza</t>
  </si>
  <si>
    <t>MAGDALENA MEDIO</t>
  </si>
  <si>
    <t>Caracolí</t>
  </si>
  <si>
    <t>Maceo</t>
  </si>
  <si>
    <t>Puerto Berrio</t>
  </si>
  <si>
    <t>Puerto Nare</t>
  </si>
  <si>
    <t>Yondo</t>
  </si>
  <si>
    <t>NORDESTE</t>
  </si>
  <si>
    <t>Amalfi</t>
  </si>
  <si>
    <t>Anori</t>
  </si>
  <si>
    <t>Cisneros</t>
  </si>
  <si>
    <t>Remedios</t>
  </si>
  <si>
    <t>San Roque</t>
  </si>
  <si>
    <t>Segovia</t>
  </si>
  <si>
    <t>Vegachi</t>
  </si>
  <si>
    <t>Yali</t>
  </si>
  <si>
    <t>Yolombo</t>
  </si>
  <si>
    <t>ORIENTE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</si>
  <si>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</si>
  <si>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</si>
  <si>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</si>
  <si>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</si>
  <si>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</si>
  <si>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</si>
  <si>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</si>
  <si>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</si>
  <si>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</si>
  <si>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</si>
  <si>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</si>
  <si>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</si>
  <si>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Unión</t>
  </si>
  <si>
    <t>Marinilla</t>
  </si>
  <si>
    <t>Nariño</t>
  </si>
  <si>
    <t>San Francisco</t>
  </si>
  <si>
    <t>San Vicente</t>
  </si>
  <si>
    <t>Sonsón</t>
  </si>
  <si>
    <t>TOTAL</t>
  </si>
  <si>
    <t>Uraba</t>
  </si>
  <si>
    <t>Norte</t>
  </si>
  <si>
    <t>Occidente</t>
  </si>
  <si>
    <t>Suroeste</t>
  </si>
  <si>
    <t>Bajo Cauca</t>
  </si>
  <si>
    <t>Magdalena Medio</t>
  </si>
  <si>
    <t xml:space="preserve">Nordeste </t>
  </si>
  <si>
    <t>Oriente</t>
  </si>
  <si>
    <t>Cañasgordas</t>
  </si>
  <si>
    <t>Caceres</t>
  </si>
  <si>
    <t>Vereda Llano Grande</t>
  </si>
  <si>
    <t>Vereda Mercedes Abrego</t>
  </si>
  <si>
    <t xml:space="preserve">Vereda Cañaveral </t>
  </si>
  <si>
    <t>Vereda La Cejita</t>
  </si>
  <si>
    <t>Corregimiento El Carmelo</t>
  </si>
  <si>
    <t>Vereda Mellito Alto</t>
  </si>
  <si>
    <t>Vereda La Esperanza</t>
  </si>
  <si>
    <t>Vereda El Rosario</t>
  </si>
  <si>
    <t>Vereda Pueblo Chino</t>
  </si>
  <si>
    <t>Vereda El Yeso</t>
  </si>
  <si>
    <t>Vereda Siete Hermanas</t>
  </si>
  <si>
    <t>Valle de Aburra</t>
  </si>
  <si>
    <t>Sin Riesgo</t>
  </si>
  <si>
    <t>Bajo</t>
  </si>
  <si>
    <t>Medio</t>
  </si>
  <si>
    <t>Alto</t>
  </si>
  <si>
    <t>Inviable Sanitariamente</t>
  </si>
  <si>
    <t>Sin Dato</t>
  </si>
  <si>
    <t>Número de Sistemas</t>
  </si>
  <si>
    <t>Regional</t>
  </si>
  <si>
    <t>SECRETARIA SECCIONAL DE SALUD Y PROTECCION SOCIAL DE ANTIOQUIA</t>
  </si>
  <si>
    <t>Versión: 01</t>
  </si>
  <si>
    <t>Página 1 de 1</t>
  </si>
  <si>
    <t>PERSONA PRESTADORA DEL SERVICIO</t>
  </si>
  <si>
    <r>
      <rPr>
        <sz val="11"/>
        <rFont val="Arial"/>
        <family val="2"/>
      </rPr>
      <t xml:space="preserve">0.0 - 5 %: 
</t>
    </r>
    <r>
      <rPr>
        <b/>
        <sz val="11"/>
        <rFont val="Arial"/>
        <family val="2"/>
      </rPr>
      <t>Sin Riesgo</t>
    </r>
  </si>
  <si>
    <r>
      <rPr>
        <sz val="11"/>
        <rFont val="Arial"/>
        <family val="2"/>
      </rPr>
      <t xml:space="preserve">35.1 - 80 %
</t>
    </r>
    <r>
      <rPr>
        <b/>
        <sz val="11"/>
        <rFont val="Arial"/>
        <family val="2"/>
      </rPr>
      <t xml:space="preserve"> Alto</t>
    </r>
  </si>
  <si>
    <t>Convenciones:</t>
  </si>
  <si>
    <r>
      <rPr>
        <sz val="11"/>
        <color indexed="9"/>
        <rFont val="Arial"/>
        <family val="2"/>
      </rPr>
      <t>80.1 -  100 %:</t>
    </r>
    <r>
      <rPr>
        <b/>
        <sz val="11"/>
        <color indexed="9"/>
        <rFont val="Arial"/>
        <family val="2"/>
      </rPr>
      <t xml:space="preserve"> 
Inviable Sanitariamente</t>
    </r>
  </si>
  <si>
    <t>Vereda Buga</t>
  </si>
  <si>
    <t>Junta Pro-Acueducto Vallecitos-Vallecitos</t>
  </si>
  <si>
    <t>Corregimiento El Hatillo-El Paraiso</t>
  </si>
  <si>
    <t>Vereda El Tablazo-Hatillo</t>
  </si>
  <si>
    <t>Acueducto Comunal Tablazo-Hatillo</t>
  </si>
  <si>
    <t>Vereda Tablazo-Popalito</t>
  </si>
  <si>
    <t>Acueducto Veredal El Tablazo Popalito</t>
  </si>
  <si>
    <t>Asociación de Usuarios del Acueducto y/o Alcantarillado de La Vereda Las Victorias,(ASUAVIC)</t>
  </si>
  <si>
    <t>Vereda Las Peñas</t>
  </si>
  <si>
    <t>Acueducto Veredal Las Peñas</t>
  </si>
  <si>
    <t>Asociación de Usuarios Acueducto Vereda Potrerito</t>
  </si>
  <si>
    <t>Asociación de Usuarios Acueducto Vereda La Cejita</t>
  </si>
  <si>
    <t>Corporación de Asociados de Acueducto Vereda Filoverde</t>
  </si>
  <si>
    <t>Vereda Aguas Claras Abajo</t>
  </si>
  <si>
    <t>Comité Empresarial de Acueducto Aguas Clara Abajo.</t>
  </si>
  <si>
    <t>Asociación de Usuarios del Acueducto y/o Alcantarillado de La Vereda La Chapa Parte Baja</t>
  </si>
  <si>
    <t>Asociación de Usuarios del Acueducto y Alcantarillado de La Vereda San Rafael</t>
  </si>
  <si>
    <t>Asociación Junta Administradora de Acueducto de La Vereda La Calda.</t>
  </si>
  <si>
    <t>Corporación de Asociados del Acueducto Vereda La Montañita</t>
  </si>
  <si>
    <t xml:space="preserve">Corregimiento San Felix </t>
  </si>
  <si>
    <t>Asociación de Usuarios del Acueducto y Alcantarillado de San Félix-Agualinda - Asociación Agualinda</t>
  </si>
  <si>
    <t>Asociación de Usuarios "Acueducto Charco Verde"</t>
  </si>
  <si>
    <t>Asociación de Usuarios Acueducto Veredal La Unión-Bello</t>
  </si>
  <si>
    <t>Junta de Accion Comunal Vereda La Primavera Sector El Salado</t>
  </si>
  <si>
    <t>Asociación de Usuarios del Acueducto "Aguas de Potrerito"</t>
  </si>
  <si>
    <t>Vereda Guasimalito</t>
  </si>
  <si>
    <t xml:space="preserve">Asociación de Suscriptores o Usuarios del Acueducto Guasimalito </t>
  </si>
  <si>
    <t>Vereda Jalisco-La Loca</t>
  </si>
  <si>
    <t>Junta Administradora Acueducto Veredal Jalisco-La Loca</t>
  </si>
  <si>
    <t>Vereda Tambo-Meneses</t>
  </si>
  <si>
    <t>Acueducto Tambo-Meneses</t>
  </si>
  <si>
    <t>Vereda Jalisco-Los Carvajares</t>
  </si>
  <si>
    <t>Junta Administradora Acueducto Veredal Jalisco-Los Carvajares</t>
  </si>
  <si>
    <t>Vereda La Calera</t>
  </si>
  <si>
    <t>Asociación de Usuarios Acueducto Nueva Antioquia - El Totumo</t>
  </si>
  <si>
    <t xml:space="preserve">Asociación de Usuarios del Acueducto Vereda La Chuscala </t>
  </si>
  <si>
    <t>Junta de Acción Comunal Vereda Salinas-Malpaso</t>
  </si>
  <si>
    <t>Junta de Accion Comunal Vereda El Raizal</t>
  </si>
  <si>
    <t>Asociación de Usuarios del Acueducto Multiveredal Corrala, Corralita y Corrala - Corrala Parte Baja (ACORMIEL)</t>
  </si>
  <si>
    <t>Junta de Accion Comunal Vereda La Valeria</t>
  </si>
  <si>
    <t>Junta de Accion Comunal Vereda La Quiebra-Moraima</t>
  </si>
  <si>
    <t>Junta de Accion Comunal Vereda La Quiebra-San Francisco</t>
  </si>
  <si>
    <t>Junta de Accion Comunal Vereda La Quiebra-Las Juntas</t>
  </si>
  <si>
    <t>Junta de Acción Comunal Vereda Salada Parte Baja</t>
  </si>
  <si>
    <t>Junta de Accion Comunal Vereda La Aguacatala</t>
  </si>
  <si>
    <t>Junta de Accion Comunal Vereda La Clara</t>
  </si>
  <si>
    <t>Comité de Acueducto Vereda Cardalito</t>
  </si>
  <si>
    <t>Junta de Accion Comunal Vereda Maní del Cardal</t>
  </si>
  <si>
    <t>Junta Administradora Acueducto Vereda Primavera</t>
  </si>
  <si>
    <t>Asociación de Usuarios del Acueducto Veredal de La Raya</t>
  </si>
  <si>
    <t>Corporación de Usuarios de Acueducto y Alcantarillado Vereda María Auxiliadora</t>
  </si>
  <si>
    <t xml:space="preserve">Asociación de Usuarios del Acueducto Veredal Las Lomitas </t>
  </si>
  <si>
    <t>Asociacion de Usuarios del Acueducto Veredal Las Brisas y San Isidro E.S.P.</t>
  </si>
  <si>
    <t>Asociacion de Usuarios del Acueducto Veredal La Doctora E.S.P. La Doctora E.S.P.</t>
  </si>
  <si>
    <t xml:space="preserve"> Acueducto Veredal Canaveralejo</t>
  </si>
  <si>
    <t>Empresa de Servicios Publicos Domiciliarios La Estrella S.A E.S.P - Planta Sagrada Familia</t>
  </si>
  <si>
    <t>Empresa de Servicios Publicos Domiciliarios La Estrella S.A E.S.P - Planta Pueblo Viejo</t>
  </si>
  <si>
    <t>Empresa de Servicios Publicos Domiciliarios La Estrella S.A E.S.P - Planta San Isidro</t>
  </si>
  <si>
    <t>Empresa de Servicios Publicos Domiciliarios La Estrella S.A E.S.P - Planta San Jose</t>
  </si>
  <si>
    <t>Empresa de Servicios Publicos Domiciliarios La Estrella S.A E.S.P - Planta Morrón - Tarapacá</t>
  </si>
  <si>
    <t>Vereda La Bermejala</t>
  </si>
  <si>
    <t>Asociación de Usuarios Acueducto Vereda La Bermejala</t>
  </si>
  <si>
    <t>Vereda Tierra Amarilla Parte Baja</t>
  </si>
  <si>
    <t>Corregimiento de Churido Pueblo</t>
  </si>
  <si>
    <t>San Jose de Apartado</t>
  </si>
  <si>
    <t>Vereda Vijagual</t>
  </si>
  <si>
    <t>Vereda Naranjales</t>
  </si>
  <si>
    <t>Corregimiento de La Trinidad</t>
  </si>
  <si>
    <t>Corregimiento de La Candelaria</t>
  </si>
  <si>
    <t>Vereda Bajo Grande</t>
  </si>
  <si>
    <t>Corregimiento de Guadual Arriba</t>
  </si>
  <si>
    <t>Vereda Nueva Estrella</t>
  </si>
  <si>
    <t>Corregimiento Santa fe de las Platas</t>
  </si>
  <si>
    <t>Vereda San Jose del Carmelo</t>
  </si>
  <si>
    <t>Vereda Casa Verde</t>
  </si>
  <si>
    <t>Barrio Pueblo Nuevo</t>
  </si>
  <si>
    <t>Vereda Nueva Esperanza</t>
  </si>
  <si>
    <t>Corregimiento  El Silencio</t>
  </si>
  <si>
    <t>Vereda Guapá La India</t>
  </si>
  <si>
    <t>Vereda Guapá León</t>
  </si>
  <si>
    <t>Corregimiento Pavarandocito</t>
  </si>
  <si>
    <t>Vereda Nuevo Mundo</t>
  </si>
  <si>
    <t>Corregimiento Belén Bajirá</t>
  </si>
  <si>
    <t>Corregimiento Caucheras</t>
  </si>
  <si>
    <t>Vereda Porroso</t>
  </si>
  <si>
    <t>Corregimiento Bejuquillo</t>
  </si>
  <si>
    <t>Comunidad  los Cacaos</t>
  </si>
  <si>
    <t>Corregimiento  El Mellito #1</t>
  </si>
  <si>
    <t>Corregimiento  El Mellito #2</t>
  </si>
  <si>
    <t>Corregimiento Zapata</t>
  </si>
  <si>
    <t>Vereda El Caño Margen Izquierdo</t>
  </si>
  <si>
    <t>Vereda Arenas Monas</t>
  </si>
  <si>
    <t>Vereda Caracoli</t>
  </si>
  <si>
    <t>Corregimiento Currulao</t>
  </si>
  <si>
    <t>Corregimiento Rio Grande</t>
  </si>
  <si>
    <t>Corregimiento Nueva Colonia</t>
  </si>
  <si>
    <t>Corregimiento El Dos</t>
  </si>
  <si>
    <t>Corregimiento Alto Mulatos</t>
  </si>
  <si>
    <t>Corregimiento Nueva Antioquia</t>
  </si>
  <si>
    <t>Corregimiento San Vicente del Congo</t>
  </si>
  <si>
    <t>Corregimiento San Jose de Mulataos</t>
  </si>
  <si>
    <t>Junta Administradora de Acueducto Los Pantanos</t>
  </si>
  <si>
    <t>Junta Administradora de Acueducto La Florida</t>
  </si>
  <si>
    <t>Junta de Accion Comunal Puerto Triana-Las Peñitas</t>
  </si>
  <si>
    <t>Corregimiento El Jardin</t>
  </si>
  <si>
    <t>Empresa de Servicios Públicos Tamaná Caceres S.A. E.S.P.-Guarumo</t>
  </si>
  <si>
    <t>Batallón Rifles</t>
  </si>
  <si>
    <t xml:space="preserve">Batallon Militar Rifles - Planta de Tratamiento Batallon Rifles </t>
  </si>
  <si>
    <t>Vereda Piedras</t>
  </si>
  <si>
    <t>Junta de Accion Comunal Las Delicias Piedras</t>
  </si>
  <si>
    <t>Junta Administradora Acueducto Buenos Aires</t>
  </si>
  <si>
    <t>Vereda La Arenosa</t>
  </si>
  <si>
    <t xml:space="preserve">Junta Administradora  Acueducto Vereda Santa Ana </t>
  </si>
  <si>
    <t>Junta Administradora Acueducto El Granadillo Purima-Purima</t>
  </si>
  <si>
    <t>Asociación de Usuarios Acueducto El Erizo</t>
  </si>
  <si>
    <t xml:space="preserve">Asociacion de Usuarios del Acueducto de La Vereda  Chagualal </t>
  </si>
  <si>
    <t>Asociacion de Usuarios del Acueducto del Chagualo-El Caunzal</t>
  </si>
  <si>
    <t xml:space="preserve">Asociacion de Usuarios del Acueducto  La Cascada </t>
  </si>
  <si>
    <t xml:space="preserve">Asociacion de Usuarios del Acueducto Asientos Canoas </t>
  </si>
  <si>
    <t>Asociacion de Usuarios Acueducto Portugal</t>
  </si>
  <si>
    <t>Asociacion de Usuarios Acueducto Multiveredal El Guaico  ASOAGUA E.S.P-Santa Catalina</t>
  </si>
  <si>
    <t>Asociacion de Usuarios Acueducto Multiveredal El Guaico  ASOAGUA E.S.P-Buey Colmenas</t>
  </si>
  <si>
    <t>Asociacion de Usuarios Acueducto Multiveredal El Guaico  ASOAGUA E.S.P-Morron</t>
  </si>
  <si>
    <t>Asociacion de Usuarios Acueducto Multiveredal El Guaico  ASOAGUA E.S.P-La Saltadera</t>
  </si>
  <si>
    <t>Asociacion de Usuarios Acueducto Multiveredal El Guaico  ASOAGUA E.S.P-Altamira</t>
  </si>
  <si>
    <t>Asociacion de Usuarios Acueducto Multiveredal El Guaico  ASOAGUA E.S.P-El Guadual</t>
  </si>
  <si>
    <t>Asociacion de Usuarios Acueducto Multiveredal El Guaico  ASOAGUA E.S.P-San Pedro</t>
  </si>
  <si>
    <t>Asociacion Acueducto Multiveredal Pantanillo ACUMUPAN-Corregimiento Pantanillo</t>
  </si>
  <si>
    <t>Asociacion de Usuarios del Acueducto Multiveredal Pantatnilo ACUMUPAN-Mata de Guadua</t>
  </si>
  <si>
    <t>Asociacion de Usuarios del Acueducto Multiveredal Pantatnilo ACUMUPAN-Sotayac</t>
  </si>
  <si>
    <t xml:space="preserve">Junta Administradora Acueducto La Samaria </t>
  </si>
  <si>
    <t xml:space="preserve">Asociacion de Usuarios del Acuedcuto Veredal Quebradanegra Abejorral </t>
  </si>
  <si>
    <t>Asociacion de Usuarios del Acueducto Multiveredal Pantatnilo ACUMUPAN-Corinto</t>
  </si>
  <si>
    <t>Asociacion de Usuarios del Acueducto La Primavera Chagualal Abejorral</t>
  </si>
  <si>
    <t>Asociacion de Usuarios del Acueducto Multiveredal Pantatnilo ACUMUPAN-El Vesubio</t>
  </si>
  <si>
    <t>Asociacion de Usuarios Acueducto Multiveredal El Guaico  ASOAGUA E.S.P-San Luis</t>
  </si>
  <si>
    <t>Asociacion de Usuarios del Acueducto Multiveredal Pantatnilo ACUMUPAN-Llano Grande</t>
  </si>
  <si>
    <t>Asociacion de Usuarios del Acueducto Multiveredal Pantatnilo ACUMUPAN-Monteloro</t>
  </si>
  <si>
    <t>Asociacion de Usuarios del Acueducto Ventiaderos Abejorral</t>
  </si>
  <si>
    <t>Asociacion de Usuarios del Acueducto Multiveredal Pantatnilo ACUMUPAN-San Bernardo</t>
  </si>
  <si>
    <t>Asociacion de Usuarios del Acueducto Multiveredal Pantatnilo ACUMUPAN-La Perdida</t>
  </si>
  <si>
    <t>Asociacion de Usuarios del Acueducto Multiveredal Pantatnilo ACUMUPAN-Las Trojas</t>
  </si>
  <si>
    <t>Junta Administradora Acueducto El Granadillo Purima-Granadillo</t>
  </si>
  <si>
    <t>NUMERO DE SUSCRIPTORES RESIDENCIALES</t>
  </si>
  <si>
    <t>Vereda Aguas Frias-Corregimiento Altavista</t>
  </si>
  <si>
    <t>Vereda Montañita-Corregimiento San Antonio de Prado</t>
  </si>
  <si>
    <t>14.1  -  35 % 
Riesgo Medio</t>
  </si>
  <si>
    <t>Vereda San Sebastian</t>
  </si>
  <si>
    <t>Vereda El Hoyito</t>
  </si>
  <si>
    <t>Vereda Rio Necoclí</t>
  </si>
  <si>
    <t>Vereda Morron</t>
  </si>
  <si>
    <t>Vereda Los Pantanos</t>
  </si>
  <si>
    <t>Corregimiento Pueblo Nuevo</t>
  </si>
  <si>
    <t>Vereda La Lomita</t>
  </si>
  <si>
    <t>Vereda Guaimaral</t>
  </si>
  <si>
    <t>Vereda El Diamante</t>
  </si>
  <si>
    <t>Vereda El Erizo</t>
  </si>
  <si>
    <t>Vereda Chagualal</t>
  </si>
  <si>
    <t>Vereda Portugal</t>
  </si>
  <si>
    <t>Corregimiento El Guaico</t>
  </si>
  <si>
    <t>Vereda La Saltadera</t>
  </si>
  <si>
    <t>Corregimiento Pantanillo</t>
  </si>
  <si>
    <t>Asociación Acueducto Veredal Naranjal La Llanada-Naranjal</t>
  </si>
  <si>
    <t>Vereda Mata de Guadua</t>
  </si>
  <si>
    <t>Vereda Sotayac</t>
  </si>
  <si>
    <t xml:space="preserve">Vereda El Chagualo </t>
  </si>
  <si>
    <t>Vereda Quebrada Negra</t>
  </si>
  <si>
    <t>Vereda Corinto</t>
  </si>
  <si>
    <t>Asociación Acueducto Veredal Naranjal La Llanada-La Llanada</t>
  </si>
  <si>
    <t>Vereda San Bernardo</t>
  </si>
  <si>
    <t>Vereda La Perdida</t>
  </si>
  <si>
    <t>Vereda Las Trojas</t>
  </si>
  <si>
    <t>Vereda Granadillo</t>
  </si>
  <si>
    <t>Vereda Portachuelo</t>
  </si>
  <si>
    <t>Vereda Corrientes</t>
  </si>
  <si>
    <t>Vereda Filo Verde</t>
  </si>
  <si>
    <t>Vereda La Valeria</t>
  </si>
  <si>
    <t>Vereda Salada Parte Baja</t>
  </si>
  <si>
    <t>Vereda El Raizal</t>
  </si>
  <si>
    <t>Vereda La Aguacatala</t>
  </si>
  <si>
    <t>Vereda La Raya</t>
  </si>
  <si>
    <t>Vereda El Cano</t>
  </si>
  <si>
    <t>Vereda Cabuyal</t>
  </si>
  <si>
    <t>Vereda San Esteban</t>
  </si>
  <si>
    <t>Vereda San Diego-Sector I</t>
  </si>
  <si>
    <t>Vereda Las Brisas y San Isidro</t>
  </si>
  <si>
    <t>Vereda Camerun</t>
  </si>
  <si>
    <t>Vereda Aguas Claras</t>
  </si>
  <si>
    <t>Vereda La Martina</t>
  </si>
  <si>
    <t>Vereda Cope</t>
  </si>
  <si>
    <t>Corregimiento El Reposo</t>
  </si>
  <si>
    <t xml:space="preserve">Vereda Los Mandarinos </t>
  </si>
  <si>
    <t>Vereda 28 De Octubre</t>
  </si>
  <si>
    <t>Vereda Carepita Promexcol</t>
  </si>
  <si>
    <t>Vereda Villa Arteaga</t>
  </si>
  <si>
    <t>Vereda Ceibita</t>
  </si>
  <si>
    <t>Corregimiento Changas</t>
  </si>
  <si>
    <t>Corregimiento  Mello Villa Vicencio</t>
  </si>
  <si>
    <t>Vereda La Comarca</t>
  </si>
  <si>
    <t>Vereda Villa Sonia</t>
  </si>
  <si>
    <t>Corregimiento Mulatos</t>
  </si>
  <si>
    <t>Corregimiento Caribia</t>
  </si>
  <si>
    <t>Vereda Villa Nueva</t>
  </si>
  <si>
    <t>Vereda Loma de Piedra</t>
  </si>
  <si>
    <t>Vereda Piedrecitas</t>
  </si>
  <si>
    <t>Vereda Meleguindo</t>
  </si>
  <si>
    <t>Vereda Tarapaca</t>
  </si>
  <si>
    <t>Corregimiento Barranquillita</t>
  </si>
  <si>
    <t>Vereda El Totumo</t>
  </si>
  <si>
    <t>Vereda El Cortado</t>
  </si>
  <si>
    <t>Vereda Las Victorias</t>
  </si>
  <si>
    <t>Vereda Popalito</t>
  </si>
  <si>
    <t>El Escobero</t>
  </si>
  <si>
    <t>Vereda Cardalito</t>
  </si>
  <si>
    <t>Vereda Loma Verde</t>
  </si>
  <si>
    <r>
      <rPr>
        <sz val="11"/>
        <rFont val="Arial"/>
        <family val="2"/>
      </rPr>
      <t>5.1  - 14 %:</t>
    </r>
    <r>
      <rPr>
        <b/>
        <sz val="11"/>
        <rFont val="Arial"/>
        <family val="2"/>
      </rPr>
      <t xml:space="preserve">  
Riesgo Bajo</t>
    </r>
  </si>
  <si>
    <t>Código:  F0-M2-P5-1893</t>
  </si>
  <si>
    <t>Fecha de aprobación:  19-01-2018</t>
  </si>
  <si>
    <t xml:space="preserve">Asociacion de Usuarios del Acueducto del Chagualo -El Chagualo </t>
  </si>
  <si>
    <t>Vereda El Volcan</t>
  </si>
  <si>
    <t xml:space="preserve">Asociacion de Usuarios del Acueducto El Volcan </t>
  </si>
  <si>
    <t>Junta Administradora Acueducto Cañaveral</t>
  </si>
  <si>
    <t>Vereda Canoas La Esperanza</t>
  </si>
  <si>
    <t>Vereda Guayaquil</t>
  </si>
  <si>
    <t xml:space="preserve">Asociacion de Usuarios del Acuedcuto Vereda Guayaquil </t>
  </si>
  <si>
    <t xml:space="preserve">Vereda La Samaria </t>
  </si>
  <si>
    <t xml:space="preserve"> Vereda El Chagualo Caunzal </t>
  </si>
  <si>
    <t>Vereda  Buey Colmenas</t>
  </si>
  <si>
    <t>Asociacion de Usuarios Acueducto Multiveredal El Guaico ASUAGUA ESP- El Zancudo Corregimiento El Guaico</t>
  </si>
  <si>
    <t>Vereda  Altamira</t>
  </si>
  <si>
    <t xml:space="preserve"> Vereda San Pedro</t>
  </si>
  <si>
    <t>Vereda La Llanada</t>
  </si>
  <si>
    <t xml:space="preserve">Vereda Naranjal </t>
  </si>
  <si>
    <t>Asociacion de Usuarios del Acueducto Multiveredal Pantatnilo ACUMUPAN-Guayabal</t>
  </si>
  <si>
    <t>Vereda El Vesubio</t>
  </si>
  <si>
    <t xml:space="preserve">Vereda El Ancla Pantano Negro </t>
  </si>
  <si>
    <t xml:space="preserve">Asociacion de Usuarios del Acueducto El Ancla de La Vereda de Pantanonegro </t>
  </si>
  <si>
    <t>Vereda La Primavera Chagualal</t>
  </si>
  <si>
    <t xml:space="preserve">Vereda La Maria La Betulia </t>
  </si>
  <si>
    <t xml:space="preserve">Junta Administradora Acueducto La Maria-La Betulia </t>
  </si>
  <si>
    <t>Asociación Junta Administradora Acueducto La Peña-La Peña</t>
  </si>
  <si>
    <t xml:space="preserve">Vereda La Betulia </t>
  </si>
  <si>
    <t xml:space="preserve">Junta Administradora Acueducto La Betulia -La Betulia </t>
  </si>
  <si>
    <t>Junta Administradora Acueducto Quebradona Abajo</t>
  </si>
  <si>
    <t>Vereda La Polka</t>
  </si>
  <si>
    <t>Junta Administradora Acueducto La Polka</t>
  </si>
  <si>
    <t>Junta Acción Comunal La Esperanza</t>
  </si>
  <si>
    <t>Vereda Ventiladeros</t>
  </si>
  <si>
    <t xml:space="preserve">Vereda Purima </t>
  </si>
  <si>
    <t>Vereda El Popo</t>
  </si>
  <si>
    <t>Asociacion de Usuarios del Acueducto Veredal El Popo</t>
  </si>
  <si>
    <t>Vereda  Las Cruces</t>
  </si>
  <si>
    <t>Asociacion de Usuarios Suscriptores del Acueducto Multiveredal Cruces,El Cerro,La Inmaculada y San Jose-Las Cruces</t>
  </si>
  <si>
    <t>Vereda San Jose</t>
  </si>
  <si>
    <t>Asociacion de Usuarios Suscriptores del Acueducto Multiveredal Cruces,El Cerro,La Inmaculada y San Jose-San Jose</t>
  </si>
  <si>
    <t>Asociacion de Ususarios Suscriptores del Acueducto Multiveredal Cruces El Cerro La Inmaculada y San Jose-El Cerro</t>
  </si>
  <si>
    <t>Vereda San Miguel El Respaldo</t>
  </si>
  <si>
    <t>Asociacion de Usuarios del Acueducto Rural San Miguel El Respaldo</t>
  </si>
  <si>
    <t>Vereda El Carbón</t>
  </si>
  <si>
    <t>Asociacion de Ususarios del Acueducto Multiveredal  El Tambo Vereda El Carbón</t>
  </si>
  <si>
    <t>Vereda La Inmaculada</t>
  </si>
  <si>
    <t>Asociación de Usuarios Suscriptores del Acueducto Multiveredal Cruces El Cerro La Inmaculada y San Jose-La Inmaculada</t>
  </si>
  <si>
    <t>Vereda El Fresnito</t>
  </si>
  <si>
    <t>Acueducto  La Linda- El Fresnito</t>
  </si>
  <si>
    <t>Junta Administradora Acueducto La Estrella</t>
  </si>
  <si>
    <t>Vereda La Plata</t>
  </si>
  <si>
    <t>Junta Administradora Acueducto  La Quiebra-La Plata</t>
  </si>
  <si>
    <t>Junta Administradora Acueducto San Pablo</t>
  </si>
  <si>
    <t>Junta Administradora El Zancudo</t>
  </si>
  <si>
    <t>Junta Admnistradora Acueducto Guaimaral</t>
  </si>
  <si>
    <t>Junta Admnistradora Acueducto Guadual</t>
  </si>
  <si>
    <t>Junta Administradora Acueducto La Mina</t>
  </si>
  <si>
    <t>Junta Administradora Acueducto San Luis</t>
  </si>
  <si>
    <t>Vereda El Cabuyo</t>
  </si>
  <si>
    <t>Junta Administradora El Cabuyo</t>
  </si>
  <si>
    <t>Junta Administradora El Diamante</t>
  </si>
  <si>
    <t>Junta Administradora El Rosario</t>
  </si>
  <si>
    <t>Vereda La Julia</t>
  </si>
  <si>
    <t>Junta Administradora  La Julia</t>
  </si>
  <si>
    <t>Junta de Acción Comunal  La Primavera</t>
  </si>
  <si>
    <t>Vereda El Oro</t>
  </si>
  <si>
    <t>Junta Administradora  El Oro</t>
  </si>
  <si>
    <t>Vereda Rancho Largo Parte Alta</t>
  </si>
  <si>
    <t>Junta Administradora Rancho Largo Parte Alta</t>
  </si>
  <si>
    <t>Vereda Rancho Largo Parte  Baja</t>
  </si>
  <si>
    <t>Junta Administradora Rancho Largo Parte Baja</t>
  </si>
  <si>
    <t>Vereda Villeta Florida</t>
  </si>
  <si>
    <t>Junta Administradora Villeta Florida</t>
  </si>
  <si>
    <t>Vereda San Agustin</t>
  </si>
  <si>
    <t>Junta Administradora Acueducto Vereda San Agustin</t>
  </si>
  <si>
    <t>Vereda Boqueron</t>
  </si>
  <si>
    <t>Asociacion de Socios del Acueducto Boqueron del Municipio de El Carmen de Viboral</t>
  </si>
  <si>
    <t>Vereda La Chapa</t>
  </si>
  <si>
    <t>Asociación de Socios del Acueducto Vereda La Chapa del Municipio del Carmen de Viboral-La Chapa</t>
  </si>
  <si>
    <t>Sector Puente Larga</t>
  </si>
  <si>
    <t>Asociación de Socios del Acueducto Vereda La Chapa del Municipio del Carmen de Viboral-Sector Puente Larga</t>
  </si>
  <si>
    <t>Vereda Campo Alegre</t>
  </si>
  <si>
    <t>Asociacion de Socios del Acueducto y Alcantarillado Campo Alegre de El Municipio de El Carmen de Viboral</t>
  </si>
  <si>
    <t>Vereda La Madera - La Morena</t>
  </si>
  <si>
    <t>Asociacion de Socios del Acueducto El Dragal y La Morena Vereda La Madera Municipio El Carmen de Viboral-La Morena</t>
  </si>
  <si>
    <t>Vereda La Madera - El Dragal</t>
  </si>
  <si>
    <t>Asociacion de Socios del Acueducto El Dragal y La Morena Vereda La Madera Municipio El Carmen de Viboral-El Dragal</t>
  </si>
  <si>
    <t>Vereda Camargo</t>
  </si>
  <si>
    <t>Asociacion de Socios del Acueducto Camargo</t>
  </si>
  <si>
    <t>Vereda Betania 1-La cabaña</t>
  </si>
  <si>
    <t>Asociacion de Usuarios del Acueducto Betania, del Municipio de El Carmen de Viboral-Betania 1</t>
  </si>
  <si>
    <t>Vereda Betania 2-Los Giraldos</t>
  </si>
  <si>
    <t>Asociacion de Usuarios del Acueducto Betania, del Municipio de El Carmen de Viboral-Betania 2</t>
  </si>
  <si>
    <t>Vereda Betania 3- Los alcáceres</t>
  </si>
  <si>
    <t>Asociacion de Usuarios del Acueducto Betania, del Municipio de El Carmen de Viboral-Betania 3</t>
  </si>
  <si>
    <t>Vereda Rivera</t>
  </si>
  <si>
    <t>Asociacion de Socios del Acueducto La Palma Rivera Altogrande de Las Veredas La Palma Rivera Altogrande-Rivera</t>
  </si>
  <si>
    <t>Asociacion de Socios del Acueducto La Palma Rivera Altogrande de Las Veredas La Palma Rivera Altogrande-La Palma</t>
  </si>
  <si>
    <t>Vereda Alto Grande</t>
  </si>
  <si>
    <t>Asociacion de Socios del Acueducto La Palma Rivera Altogrande de Las Veredas La Palma Rivera Altogrande-Alto Grande</t>
  </si>
  <si>
    <t>Vereda  La Aurora El Quemado</t>
  </si>
  <si>
    <t>Asociacion de Usuarios del Acueducto La Aurora Viboral Municipio de El Carmen de Viboral-El Quemado</t>
  </si>
  <si>
    <t>Vereda Viboral  El Quemado</t>
  </si>
  <si>
    <t>Asociacion de Usuarios del Acueducto La Aurora Viboral Municipio de El Carmen de Viboral-Viboral  El Quemado</t>
  </si>
  <si>
    <t>Vereda Viboral La Linda</t>
  </si>
  <si>
    <t>Asociacion de Usuarios del Acueducto La Aurora Viboral Municipio de El Carmen de Viboral-Viboral   La Linda</t>
  </si>
  <si>
    <t>Vereda  La Aurora La Linda</t>
  </si>
  <si>
    <t>Asociacion de Usuarios del Acueducto La Aurora Viboral Municipio de El Carmen de Viboral-La Linda</t>
  </si>
  <si>
    <t>Asociacion de Usuarios del Acueducto La Aurora Viboral Municipio de El Carmen de Viboral-Sector Las Brisas</t>
  </si>
  <si>
    <t>Vereda La Milagrosa</t>
  </si>
  <si>
    <t>Asociacion de Usuarios del Acueducto Aguas Claras del Municipio del Carmen de Viboral-La Milagrosa</t>
  </si>
  <si>
    <t>Asociacion de Usuarios del Acueducto Aguas Claras del Municipio del Carmen de Viboral-Aguas Claras</t>
  </si>
  <si>
    <t>Vereda Guamito</t>
  </si>
  <si>
    <t>Asociacion de Usuarios del Acueducto Aguas Claras del Municipio del Carmen de Viboral-Guamito</t>
  </si>
  <si>
    <t>Vereda Quirama</t>
  </si>
  <si>
    <t>Asociacion de Usuarios del Acueducto Aguas Claras del Municipio del Carmen de Viboral-Quirama</t>
  </si>
  <si>
    <t>Vereda El salado</t>
  </si>
  <si>
    <t>Asociacion de Socios del Acueducto El Cerro, Samaria, La Milagrosa, Quirama, Cristo Rey y El Saldo-El Salado</t>
  </si>
  <si>
    <t>Vereda Samaria</t>
  </si>
  <si>
    <t>Asociacion de Socios del Acueducto El Cerro, Samaria, La Milagrosa, Quirama, Cristo Rey y El Saldo-Samaria</t>
  </si>
  <si>
    <t>Vereda Cristo Rey</t>
  </si>
  <si>
    <t>Asociacion de Socios del Acueducto El Cerro, Samaria, La Milagrosa, Quirama, Cristo Rey y El Saldo-Cristo Rey</t>
  </si>
  <si>
    <t>Vereda La Sonadora</t>
  </si>
  <si>
    <t>Asociacion de Socios del Acueducto y Alcantarillado Sonadora Garzonas-Sonadora</t>
  </si>
  <si>
    <t>Vereda Las Garzonas</t>
  </si>
  <si>
    <t>Asociacion de Socios del Acueducto y Alcantarillado Sonadora Garzonas -Garzonas</t>
  </si>
  <si>
    <t>Vereda Las Acacias</t>
  </si>
  <si>
    <t>Asociacion de Socios del Acueducto de Las Acacias del Municipio del Carmen de Viboral</t>
  </si>
  <si>
    <t>Vereda Mazorcal</t>
  </si>
  <si>
    <t>Asociacion de Socios del Acueducto Mazorcal</t>
  </si>
  <si>
    <t>Asociacion de Socios del Acueducto La Florida Municipio de El Carmen de Viboral departamento de Antioquia</t>
  </si>
  <si>
    <t>Vereda Rivera Arriba</t>
  </si>
  <si>
    <t>Asociacion de Socios del Acueducto Rivera Arriba</t>
  </si>
  <si>
    <t>Asociacion de Socios del Acueducto El Cerro, Samaria, La Milagrosa, Quirama, Cristo Rey y El Saldo-La Milagrosa</t>
  </si>
  <si>
    <t>Asociacion de Socios del Acueducto El Cerro, Samaria, La Milagrosa, Quirama, Cristo Rey y El Saldo-El Cerro</t>
  </si>
  <si>
    <t>Asociacion de Socios del Acueducto El Cerro, Samaria, La Milagrosa, Quirama, Cristo Rey y El Saldo-Quirama</t>
  </si>
  <si>
    <t>Vereda Risaralda</t>
  </si>
  <si>
    <t>Asociacion de Usuarios del Acueducto Veredal Risaralda Municipio de Amalfi</t>
  </si>
  <si>
    <t>Corregimiento Portachuelo</t>
  </si>
  <si>
    <t>Acueducto Junta de Acción Comunal Portachuelo Comité</t>
  </si>
  <si>
    <t>Vereda La Maria</t>
  </si>
  <si>
    <t>Junta de Acción Comunal Pro Acueducto Vereda La Maria</t>
  </si>
  <si>
    <t>Vereda  Montebello Parte Alta</t>
  </si>
  <si>
    <t>Junta de Accion Comunal de La Vereda Montebello- Parte Alta</t>
  </si>
  <si>
    <t>Vereda  Montebello La Pradera</t>
  </si>
  <si>
    <t>Junta de Accion Comunal Comité Proacueducto Vereda Montebello -La Pradera</t>
  </si>
  <si>
    <t>Campamento El Tablon</t>
  </si>
  <si>
    <t>EPM-Campamento El tablon</t>
  </si>
  <si>
    <t>Vereda Bellavista</t>
  </si>
  <si>
    <t>Vereda Cruces</t>
  </si>
  <si>
    <t>Vereda El Limón</t>
  </si>
  <si>
    <t>Acueducto Multiveredal El Limón</t>
  </si>
  <si>
    <t>Vereda El Retiro</t>
  </si>
  <si>
    <t>Acueducto Multiveredal El Retiro</t>
  </si>
  <si>
    <t>Campamento Primavera EPM</t>
  </si>
  <si>
    <t>Acueducto Campamento Primavera EPM</t>
  </si>
  <si>
    <t>Vereda La Soledad</t>
  </si>
  <si>
    <t>Vereda Montefrio</t>
  </si>
  <si>
    <t>Vereda Santo Domingo</t>
  </si>
  <si>
    <t>Vereda  El Cadillo</t>
  </si>
  <si>
    <t>Junta de Accion Comunal El Cadillo</t>
  </si>
  <si>
    <t>Vereda El Dos</t>
  </si>
  <si>
    <t>Junta de Accion Comunal El Dos</t>
  </si>
  <si>
    <t>Junta de Accion Comunal El Limón</t>
  </si>
  <si>
    <t>Vereda La Piñuela</t>
  </si>
  <si>
    <t xml:space="preserve">Corporación Acueducto Comunitario Vereda La Piñuela </t>
  </si>
  <si>
    <t>Junta Accion Comunal Los Cedros</t>
  </si>
  <si>
    <t>Vereda El Coco</t>
  </si>
  <si>
    <t>Junta Administradora Acueducto El Coco</t>
  </si>
  <si>
    <t>Vereda El Choco</t>
  </si>
  <si>
    <t xml:space="preserve">Asociación de Usuarios de Acueducto (ASOCOCORNA) Vereda San Jose </t>
  </si>
  <si>
    <t xml:space="preserve">Junta Administradora Acueducto Cruces </t>
  </si>
  <si>
    <t>Vereda Palmirita</t>
  </si>
  <si>
    <t>Junta Administradora de Acueducto Santo Domingo</t>
  </si>
  <si>
    <t>Vereda La Veta</t>
  </si>
  <si>
    <t>Vereda El Viadal</t>
  </si>
  <si>
    <t>Junta Administradora Acueducto El Viadal</t>
  </si>
  <si>
    <t>Junta Administradora Acueducto San Juan</t>
  </si>
  <si>
    <t>Vereda San Antonio</t>
  </si>
  <si>
    <t>Vereda El Higueron</t>
  </si>
  <si>
    <t>Vereda Mazotes</t>
  </si>
  <si>
    <t>Junta Administradora Acueducto Mazotes</t>
  </si>
  <si>
    <t>Vereda La Placeta</t>
  </si>
  <si>
    <t>Junta Administradora Acueducto La Placeta</t>
  </si>
  <si>
    <t>Vereda Chorrera</t>
  </si>
  <si>
    <t>Vereda San Lorenzo</t>
  </si>
  <si>
    <t>Junta Administradora Acueducto San Lorenzo</t>
  </si>
  <si>
    <t>Vereda  Alto San Juan</t>
  </si>
  <si>
    <t>Junta de Acción Comunal Vereda San Juan Alto</t>
  </si>
  <si>
    <t>Vereda  San Pedro Bajo</t>
  </si>
  <si>
    <t>Junta de Acción Comunal Vereda San Pedro Bajo</t>
  </si>
  <si>
    <t>Vereda  Arango</t>
  </si>
  <si>
    <t>Junta de Acción Comunal Vereda Arango</t>
  </si>
  <si>
    <t>Vereda  Palmichal</t>
  </si>
  <si>
    <t>Junta de Acción Comunal Vereda Palmichal</t>
  </si>
  <si>
    <t>Vereda  La Magdalena</t>
  </si>
  <si>
    <t>Asociacion de Usuarios del Acueducto La Magdalena San Lorenzo</t>
  </si>
  <si>
    <t>Vereda  Bonilla Arriba</t>
  </si>
  <si>
    <t>Asociacion de Usuarios Acueducto Bonilla Arriba</t>
  </si>
  <si>
    <t>Vereda  Helida</t>
  </si>
  <si>
    <t>Asociacion de Usuarios Acueducto Helida Concordia- Helida</t>
  </si>
  <si>
    <t>Vereda  Horizontes</t>
  </si>
  <si>
    <t>Asociacion de Usuarios Acueducto Horizontes-Horizontes</t>
  </si>
  <si>
    <t>Vereda  El Marial</t>
  </si>
  <si>
    <t>Asociacion de Usuarios del Acueducto Palmira Marial-El Marial</t>
  </si>
  <si>
    <t>Vereda  Santa Ana</t>
  </si>
  <si>
    <t>Asociacion de Usuarios del Acueducto Joaquin y Ana</t>
  </si>
  <si>
    <t>Vereda  La Chapa</t>
  </si>
  <si>
    <t>Asociacion de Usuarios del Acueducto La Chapa</t>
  </si>
  <si>
    <t>Vereda  Santa Ines</t>
  </si>
  <si>
    <t>Asociacion de Usuarios del Acueducto Multiveredal El Salto, Santa Ines, Primavera, Culebra-Santa Ines</t>
  </si>
  <si>
    <t>Vereda  El Salto</t>
  </si>
  <si>
    <t>Asociacion de Usuarios del Acueducto Multiveredal El Salto, Santa Ines, Primavera, Culebra-El Salto</t>
  </si>
  <si>
    <t>Vereda  Culebra</t>
  </si>
  <si>
    <t>Asociacion de Usuarios del Acueducto Multiveredal El Salto, Santa Ines, Primavera, Culebra-Culebra</t>
  </si>
  <si>
    <t>Vereda  Primavera</t>
  </si>
  <si>
    <t>Asociacion de Usuarios del Acueducto Multiveredal El Salto, Santa Ines, Primavera, Culebra-Primavera</t>
  </si>
  <si>
    <t>Vereda  Palmira</t>
  </si>
  <si>
    <t>Asociacion de Usuarios del Acueducto Palmira Marial-Palmira</t>
  </si>
  <si>
    <t>Vereda  Palestina</t>
  </si>
  <si>
    <t>Asociacion de Socios, Suscriptores y Usuarios del Acueducto Bonilla-Palestina -Palestina</t>
  </si>
  <si>
    <t>Vereda  El Morro</t>
  </si>
  <si>
    <t>Asociacion de Usuarios Acueducto Jesús Arcesio Botero-El Morro</t>
  </si>
  <si>
    <t>Vereda  Concordia</t>
  </si>
  <si>
    <t>Asociacion de Usuarios Acueducto Helida Concordia-Concordia</t>
  </si>
  <si>
    <t>Vereda  Bonilla</t>
  </si>
  <si>
    <t xml:space="preserve"> Asociacion de Socios, Suscriptores y Usuarios del Acueducto Bonilla  palestina -Bonilla parte baja</t>
  </si>
  <si>
    <t>Vereda  La Cristalina</t>
  </si>
  <si>
    <t>Asociacion de Usuarios del Acueducto Vereda La Cristalina</t>
  </si>
  <si>
    <t>Vereda  Uvital</t>
  </si>
  <si>
    <t>Asociacion de Usuarios Acueducto Jesús Arcesio Botero- El Uvital</t>
  </si>
  <si>
    <t>Vereda  La Meseta</t>
  </si>
  <si>
    <t>Asociacion de Usuarios del Acueducto El Chilco -Chiquinquira y La Meseta-La Meseta</t>
  </si>
  <si>
    <t>Vereda  El Chilco</t>
  </si>
  <si>
    <t>Asociacion de Usuarios del Acueducto El Chilco -Chiquinquira y La Meseta-El Chilco</t>
  </si>
  <si>
    <t>Vereda  Chiquinquira</t>
  </si>
  <si>
    <t>Asociacion de Usuarios del Acueducto El Chilco -Chiquinquira y La Meseta-Chiquinquira</t>
  </si>
  <si>
    <t>Vereda  Guamito</t>
  </si>
  <si>
    <t xml:space="preserve"> Asociacion de Usuarios del Acueducto Guamito - Guamito</t>
  </si>
  <si>
    <t>Vereda  Puente Hondita</t>
  </si>
  <si>
    <t>Asociacion de Socios Suscriptores y Usuarios del Acueducto Puente Hondita</t>
  </si>
  <si>
    <t>Asociacion de Usuarios del Acueducto El Chilco (Arriba)</t>
  </si>
  <si>
    <t>Asociacion de Usuarios Acueducto Jesús Arcesio Botero-Chiquinquira</t>
  </si>
  <si>
    <t>Sector la Zulia</t>
  </si>
  <si>
    <t>Asociacion de Usuarios Acueducto Jesús Arcesio Botero-Zulia</t>
  </si>
  <si>
    <t xml:space="preserve"> Asociacion de Usuarios del Acueducto Guamito - El Morro</t>
  </si>
  <si>
    <t>Asociacion de Usuarios Acueducto Horizontes-El Salto (parte baja)</t>
  </si>
  <si>
    <t>Vereda Don Diego</t>
  </si>
  <si>
    <t>Corporación Civica de Socios del Acueducto Don Diego</t>
  </si>
  <si>
    <t>Vereda Villa Elena</t>
  </si>
  <si>
    <t>Vereda Pantalio</t>
  </si>
  <si>
    <t>Vereda Pantanillo</t>
  </si>
  <si>
    <t>Vereda Los Medios</t>
  </si>
  <si>
    <t>Vereda Los Salados</t>
  </si>
  <si>
    <t>Vereda El Portento</t>
  </si>
  <si>
    <t>Vereda Lejos del Nido</t>
  </si>
  <si>
    <t>Sector la Fé</t>
  </si>
  <si>
    <t>Aguas del Oriente Antioqueño S.A. E.S.P. El Retiro-Vereda Don Diego Sector La Fe.</t>
  </si>
  <si>
    <t>Corregimiento La Cruzada</t>
  </si>
  <si>
    <t xml:space="preserve">Asociacion de Usuarios de Acueducto y Alcantarillado Corregimiento La Cruzada </t>
  </si>
  <si>
    <t>Corregimiento Santa Isabel</t>
  </si>
  <si>
    <t>Asociacion de Usuarios del Acueducto del Corregimiento de Santa Isabel</t>
  </si>
  <si>
    <t>Vereda Santa Lucia</t>
  </si>
  <si>
    <t>Junta de Accion Comunal  Santa Lucia</t>
  </si>
  <si>
    <t>Vereda Ceiba</t>
  </si>
  <si>
    <t>Junta de Accion Comunal  Ceiba</t>
  </si>
  <si>
    <t>Vereda Martana</t>
  </si>
  <si>
    <t>Junta de Accion Comunal Martana</t>
  </si>
  <si>
    <t>Vereda Cañaveral</t>
  </si>
  <si>
    <t>Junta de Accion Comunal Cañaveral</t>
  </si>
  <si>
    <t>Vereda La Cruz</t>
  </si>
  <si>
    <t>Junta de Accion Comunal La Cruz</t>
  </si>
  <si>
    <t>Corregimiento Cristales</t>
  </si>
  <si>
    <t>Vereda Quiebra Honda</t>
  </si>
  <si>
    <t>Vereda Patio Bonito</t>
  </si>
  <si>
    <t>Vereda Marbella</t>
  </si>
  <si>
    <t>Vereda La Jota</t>
  </si>
  <si>
    <t>Vereda Frailes</t>
  </si>
  <si>
    <t>Acueducto Multiveredal Cristales-El Diamante</t>
  </si>
  <si>
    <t>Vereda Corocito</t>
  </si>
  <si>
    <t>Acueducto Multiveredal Cristales-Corocito</t>
  </si>
  <si>
    <t>Vereda Santa Barbara</t>
  </si>
  <si>
    <t>Asociacion de Usuarios del Acueducto Veredal Santa Barbara</t>
  </si>
  <si>
    <t>Vereda Cabildo</t>
  </si>
  <si>
    <t>Acueducto Multiveredal Cristales-Cabildo</t>
  </si>
  <si>
    <t>Vereda La Mora</t>
  </si>
  <si>
    <t>Asociación de Usuarios del Acueducto Veredal La Mora</t>
  </si>
  <si>
    <t>Vereda El Brasil</t>
  </si>
  <si>
    <t>Acueducto Multiveredal Cristales-Brasil</t>
  </si>
  <si>
    <t>Vereda Barcino</t>
  </si>
  <si>
    <t>Acueducto Multiveredal Cristales-Barcino</t>
  </si>
  <si>
    <t>Corregimiento San Jose Nus</t>
  </si>
  <si>
    <t>Empresa de Servicios Publicos San Jose del Nus</t>
  </si>
  <si>
    <t>Vereda Encarnaciones</t>
  </si>
  <si>
    <t>Junta de Acción Comunal La Encarnaciones</t>
  </si>
  <si>
    <t>Vereda La Guzmana</t>
  </si>
  <si>
    <t>Junta de Acción Comunal Acueducto La Guzmana</t>
  </si>
  <si>
    <t>Vereda San Juan</t>
  </si>
  <si>
    <t>Junta de Acción Comunal Acueducto San Juan</t>
  </si>
  <si>
    <t>Vereda Montemar</t>
  </si>
  <si>
    <t>Asociacion de Usuarios del Acueducto Veredal Montemar</t>
  </si>
  <si>
    <t>Vereda Mulatal</t>
  </si>
  <si>
    <t>Junta Administradora Acueducto Veredal Mulatal</t>
  </si>
  <si>
    <t>Vereda El Jardin</t>
  </si>
  <si>
    <t xml:space="preserve">Asociacion de Usuarios del Acueducto Veredal El Jardin </t>
  </si>
  <si>
    <t>Vereda La Candelaria</t>
  </si>
  <si>
    <t>Asociacion de Usuarios del Acueducto La Candelaria</t>
  </si>
  <si>
    <t>Vereda Vesubio</t>
  </si>
  <si>
    <t>Asociación de Usuarios del Acueducto Multiveredal San Matias - Vesubio</t>
  </si>
  <si>
    <t>Vereda San José del Nare</t>
  </si>
  <si>
    <t xml:space="preserve">Asociación de Usuarios del Acueducto Multiveredal San José Nare San Pablo -San José </t>
  </si>
  <si>
    <t xml:space="preserve">Asociación de Usuarios del Acueducto Multiveredal San José Nare SanPablo-San Pablo </t>
  </si>
  <si>
    <t>Vereda La Pureza</t>
  </si>
  <si>
    <t>Asociación de Usuarios del Acueducto Multiveredal San Matias - La Pureza</t>
  </si>
  <si>
    <t>Vereda San Matias</t>
  </si>
  <si>
    <t>Asociación de Usuarios del Acueducto Multiveredal San Matias-San Matias</t>
  </si>
  <si>
    <t>Corregimiento Providencia</t>
  </si>
  <si>
    <t>Asociacion de Usuarios del Agua La Cascada Providencia</t>
  </si>
  <si>
    <t>Asociacion Junta de Acueducto y Alcantarillado La Plata Corregimiento Providencia</t>
  </si>
  <si>
    <t>Vereda Playa Rica</t>
  </si>
  <si>
    <t>Junta de Acción Comunal Vereda Playa Rica</t>
  </si>
  <si>
    <t>Vereda El Piramo</t>
  </si>
  <si>
    <t>Junta de Acción Comunal El Píramo</t>
  </si>
  <si>
    <t>Vereda Santa Teresa Alta</t>
  </si>
  <si>
    <t>Asociación Acueducto Vereda Santa Teresa y Canalones La Union</t>
  </si>
  <si>
    <t>Junta de Accion Comunal - La Palma ( realizado por cisneros)</t>
  </si>
  <si>
    <t>Vereda Cantayus Bajo</t>
  </si>
  <si>
    <t>Junta Administradora - Cantayus Bajo</t>
  </si>
  <si>
    <t>Vereda Faldas Del Nus</t>
  </si>
  <si>
    <t>Usuarios del Sistema - Faldas Del Nus</t>
  </si>
  <si>
    <t>Vereda Sofia</t>
  </si>
  <si>
    <t>Corregimiento Santiago</t>
  </si>
  <si>
    <t>Junta de Acción Comunal - Corregimiento Santiago</t>
  </si>
  <si>
    <t>Corregimiento El Limón</t>
  </si>
  <si>
    <t>Junta de Acción Comunal - Corregimiento El Limón</t>
  </si>
  <si>
    <t>Vereda El Rayo</t>
  </si>
  <si>
    <t>Junta de Acción Comunal - El Rayo</t>
  </si>
  <si>
    <t>Vereda Santa Gertrudis</t>
  </si>
  <si>
    <t>Junta Administradora Sistema Uno - Sta Gertrudis</t>
  </si>
  <si>
    <t>Vereda Guadualejo</t>
  </si>
  <si>
    <t>Junta de Acción Comunal - Guadualejo</t>
  </si>
  <si>
    <t>Corregimiento Versalles</t>
  </si>
  <si>
    <t>ESPD del Municipio De Cisneros S.A. E.S.P-Corregimiento de Versalles</t>
  </si>
  <si>
    <t>Vereda Vainillal</t>
  </si>
  <si>
    <t>Junta Administradora - Vainillal</t>
  </si>
  <si>
    <t>Junta de Acción Comunal - La Quiebra</t>
  </si>
  <si>
    <t>Vereda Piedras Blancas</t>
  </si>
  <si>
    <t>Junta de Acción Comunal - Piedras Blancas</t>
  </si>
  <si>
    <t>Vereda Las Animas</t>
  </si>
  <si>
    <t>Junta de Acción Comunal - Las Animas</t>
  </si>
  <si>
    <t>Vereda El Balzal</t>
  </si>
  <si>
    <t>Junta Administradora Acueducto- El Balzal</t>
  </si>
  <si>
    <t>Aguas de Porcesito</t>
  </si>
  <si>
    <t>Asociación de Usuarios del Acueducto Aguas de Porcesito</t>
  </si>
  <si>
    <t>Corregimiento Botero</t>
  </si>
  <si>
    <t>Asociación de Usuarios Pro Acueducto Corregimiento Botero</t>
  </si>
  <si>
    <t>Corregimiento de Fraguas La
 Esperanza</t>
  </si>
  <si>
    <t>Junta de Acción Comunal Corregimiento Fraguas-La Esperanza</t>
  </si>
  <si>
    <t>Vereda El Aporriado</t>
  </si>
  <si>
    <t>Junta de Acción Comunal El Aporriado</t>
  </si>
  <si>
    <t>Vereda Marmajon</t>
  </si>
  <si>
    <t>Junta Administradora Acueducto Marmajon</t>
  </si>
  <si>
    <t>Vereda Manzanillo</t>
  </si>
  <si>
    <t xml:space="preserve">Gran Colombia Gold </t>
  </si>
  <si>
    <t xml:space="preserve">Vereda Juan Tereso </t>
  </si>
  <si>
    <t>Junta de Acción Comunal Juan Tereso</t>
  </si>
  <si>
    <t>Vereda  Puerto Calavera</t>
  </si>
  <si>
    <t>Junta de Acción Comunal Puerto Calavera</t>
  </si>
  <si>
    <t>Vereda  El Chispero</t>
  </si>
  <si>
    <t>Junta de Acción Comunal  Vereda El Chispero</t>
  </si>
  <si>
    <t>Aguas del Pocuné S.A.S. E.S.P - Campo Alegre</t>
  </si>
  <si>
    <t>Vereda El Cristo</t>
  </si>
  <si>
    <t>Junata Administradora El Cristo ASUAVEC</t>
  </si>
  <si>
    <t>Vereda El Cenizo</t>
  </si>
  <si>
    <t>Junta de Acción Comunal El Cenizo</t>
  </si>
  <si>
    <t>Vereda La Gallinera</t>
  </si>
  <si>
    <t>ASUGASA E.S.P.-La Gallinera</t>
  </si>
  <si>
    <t>Vereda San Pacual</t>
  </si>
  <si>
    <t>ASUGASA E.S.P.-San Pascual</t>
  </si>
  <si>
    <t>Vereda La Sierra</t>
  </si>
  <si>
    <t>ASUGASA E.S.P.-La Sierra</t>
  </si>
  <si>
    <t>Corregimiento el Tigre</t>
  </si>
  <si>
    <t>ASOCOTI-El Tigre</t>
  </si>
  <si>
    <t>Vereda Villanita</t>
  </si>
  <si>
    <t>Asociación Junta Administradora de Acueducto Veredal Villanita</t>
  </si>
  <si>
    <t>Vereda Montañitas</t>
  </si>
  <si>
    <t>Asociación Junta Administradora de Acueducto Veredal Montañitas</t>
  </si>
  <si>
    <t>Vereda  Puerto Estafa</t>
  </si>
  <si>
    <t>Asociación Junta Administradora Acueducto Puerto Estafa</t>
  </si>
  <si>
    <t>Vereda San Jorge</t>
  </si>
  <si>
    <t>Junta Administradora de Acueducto San Jorge</t>
  </si>
  <si>
    <t>Vereda Montebello</t>
  </si>
  <si>
    <t>Junta Administradora de Acueducto Motebello</t>
  </si>
  <si>
    <t>Vereda Hatillo</t>
  </si>
  <si>
    <t>Asociación Junta Administradora de Acueducto Multiveredal Hatillo Montebello-Hatillo</t>
  </si>
  <si>
    <t>Asociación Junta Administradora de Acueducto Veredal Santa Barbara</t>
  </si>
  <si>
    <t>Vereda La Brillantina</t>
  </si>
  <si>
    <t>Asociación Junta Administradora de Acueducto Vereda Brillantina</t>
  </si>
  <si>
    <t>Vereda Casa Mora</t>
  </si>
  <si>
    <t>Asociación Junta Administradora de Acueducto Casa Mora</t>
  </si>
  <si>
    <t>Vereda Mascara</t>
  </si>
  <si>
    <t>Asociacion Junta Administradora Acueducto La Mascara</t>
  </si>
  <si>
    <t>Carmen de Viboral</t>
  </si>
  <si>
    <t>Vereda Tabacal parte baja</t>
  </si>
  <si>
    <t>Multiveredal Nazareth</t>
  </si>
  <si>
    <t>Vereda Tabacal parte alta</t>
  </si>
  <si>
    <t>Vereda La fe</t>
  </si>
  <si>
    <t>Multiveredal Vereda Pantanillo</t>
  </si>
  <si>
    <t>Multiveredal Vereda La Amapola</t>
  </si>
  <si>
    <t>Multiveredal Vereda Pantalio</t>
  </si>
  <si>
    <t>Vereda El Chuscal (seminario)</t>
  </si>
  <si>
    <t>Vereda El Chuscal (Luis Arenas)</t>
  </si>
  <si>
    <t>Vereda Carrizales parte alta</t>
  </si>
  <si>
    <t>Vereda Carrizales parte baja</t>
  </si>
  <si>
    <t>Vereda Villa Elena. (Altos del Cauce)</t>
  </si>
  <si>
    <t>Vereda Nazareth Bajo</t>
  </si>
  <si>
    <t>A. U. del Acueducto Multiveredal Nazareth y Tabacal. (Nazareth Alto)</t>
  </si>
  <si>
    <t>A. U.del Acueducto Multiveredal Nazareth y Tabacal. (Tabacal  Bajo).</t>
  </si>
  <si>
    <t>A.U. de Acueducto y Alcantarillado Villa Elena</t>
  </si>
  <si>
    <t>Corporación de Usuarios del Acueducto el Portento</t>
  </si>
  <si>
    <t>A. U.del Acueducto Tabacal Alto</t>
  </si>
  <si>
    <t>Asociación de Usuarios del Acueducto  Lejos del Nido</t>
  </si>
  <si>
    <t>Asociación de Usuarios del Acueducto Pantalio</t>
  </si>
  <si>
    <t>Asociación de Usuarios  del Acueducto  La fe</t>
  </si>
  <si>
    <t>Junta Administradora Sistema de Acueducto Los Medios</t>
  </si>
  <si>
    <t>Acueducto Multiveredal de las Veredas Pantanillo, Amapola y Pantalio. (Amapola)</t>
  </si>
  <si>
    <t>Acueducto Multiveredal de las Veredas Pantanillo, Amapola y Pantalio . (Pantanillo)</t>
  </si>
  <si>
    <t>Acueducto Multiveredal de las Veredas Pantanillo y Pantalio. (Pantalio)</t>
  </si>
  <si>
    <t>Asociación de Usuarios del Acueducto El Chuscal.  (Seminario)</t>
  </si>
  <si>
    <t>Asociacion de Usuarios del Acueducto El Chuscal. (Luis Arenas)</t>
  </si>
  <si>
    <t>Asociacion de Usuarios del Acueducto  Los Salados.</t>
  </si>
  <si>
    <t>Corporación de Usuarios del Acueducto Carrizales Parte alta.</t>
  </si>
  <si>
    <t>Asociacion de Usuarios del Acueducto Carrizales bajo</t>
  </si>
  <si>
    <t>Asociacion de Usuarios del Acueducto  Altos del Cauce</t>
  </si>
  <si>
    <t>Asociacion de Usuarios del Acueducto  Nazareth Parte baja.</t>
  </si>
  <si>
    <t>Corregimiento  El Ruby.</t>
  </si>
  <si>
    <t xml:space="preserve">Asociación Comunitaria Acueducto El Ruby. </t>
  </si>
  <si>
    <t>Corregimiento La Floresta (Versalles)</t>
  </si>
  <si>
    <t>Junta Administradora de Acueducto Corregimiento La Floresta-Versalles</t>
  </si>
  <si>
    <t>Corregimiento La Floresta (Ruby)</t>
  </si>
  <si>
    <t>Junta Administradora de Acueducto Corregimiento La Floresta-Rubi</t>
  </si>
  <si>
    <t>Corregimiento Villa Nueva</t>
  </si>
  <si>
    <t xml:space="preserve">Empresa de Servicios Públicos Corregimiento Villa Nueva </t>
  </si>
  <si>
    <t>Vereda Bareño</t>
  </si>
  <si>
    <t>Junta Administradora del Acueducto Bareño</t>
  </si>
  <si>
    <t>Comité Empresarial del Acueducto</t>
  </si>
  <si>
    <t>Vereda El Tapon</t>
  </si>
  <si>
    <t>Acueducto El Tapón</t>
  </si>
  <si>
    <t xml:space="preserve">Vereda La Melonada </t>
  </si>
  <si>
    <t>Junta de Acción Comunal Vereda La Melonada</t>
  </si>
  <si>
    <t>Vereda La Ceiba</t>
  </si>
  <si>
    <t>Junta Administradora Acueducto La Ceiba</t>
  </si>
  <si>
    <t>Vereda  Las Frías</t>
  </si>
  <si>
    <t>Asociación de Usuarios del Acueducto Veredal Las Frías</t>
  </si>
  <si>
    <t>Junta Acciión Comunal Vereda La María</t>
  </si>
  <si>
    <t>Vereda Estación Sofia</t>
  </si>
  <si>
    <t xml:space="preserve">Junta de Acción Comunal Estación Sofia. </t>
  </si>
  <si>
    <t>Junta Administradora de Acueducto La Soledad</t>
  </si>
  <si>
    <t>Vereda San Jacinto</t>
  </si>
  <si>
    <t>Acueducto Vereda San Jacinto</t>
  </si>
  <si>
    <t xml:space="preserve">Vereda Vargas </t>
  </si>
  <si>
    <t>Asociación de Usuarios Acueducto Multiveredal Vargas Pantanillo-Vargas</t>
  </si>
  <si>
    <t>Asociación de Usuarios Acueducto Multiveredal Vargas-Pantanillo</t>
  </si>
  <si>
    <t>Vereda Pavas</t>
  </si>
  <si>
    <t xml:space="preserve">Asociación de Usuarios Acueducto Vereda Pavas La Cuchilla E.P.S.D-Pavas </t>
  </si>
  <si>
    <t>Vereda Señor Caído</t>
  </si>
  <si>
    <t>Asociación de Usuarios Acueducto Vereda Pavas La Cuchilla E.P.S.D-Señor Caido E.P.S.D.</t>
  </si>
  <si>
    <t>Vereda El Carmelo</t>
  </si>
  <si>
    <t>Asociación de Usuarios del Acueducto Multiveredal El Carmelo Lourdes- El Carmelo</t>
  </si>
  <si>
    <t>Vereda Lourdes</t>
  </si>
  <si>
    <t>Asociación de Usuarios del Acueducto Multiveredal El Carmelo Lourdes- Lourdes</t>
  </si>
  <si>
    <t>Asociación de Usuarios del Acueducto Veredal Portachuelo de El Santuario Ant.</t>
  </si>
  <si>
    <t xml:space="preserve">Asociación de Usuarios Acueducto Pantanillo-La Milagrosa </t>
  </si>
  <si>
    <t>Vereda La Floresta</t>
  </si>
  <si>
    <t>Asociación de Copropietarios y Usuarios Acueducto Vereda La Floresta</t>
  </si>
  <si>
    <t>Vereda El Socorro</t>
  </si>
  <si>
    <t>Asociación de Usuarios Acueducto Vereda El Socorro</t>
  </si>
  <si>
    <t>Asociación de Usuarios Acueducto Vereda  San Matias</t>
  </si>
  <si>
    <t>Vereda  El Salaito</t>
  </si>
  <si>
    <t xml:space="preserve">Asociacion de Usuarios Acueducto El Salaito </t>
  </si>
  <si>
    <t>Vereda Valle María</t>
  </si>
  <si>
    <t>Asociación de Usuarios del Acueducto Multiveredal Valle de Maria La Chapa</t>
  </si>
  <si>
    <t xml:space="preserve">Vereda Potrerito  </t>
  </si>
  <si>
    <t>Asociación de Usuarios Acueducto Potrerito Aldana Municipio El Santuario-Potrerito</t>
  </si>
  <si>
    <t xml:space="preserve"> Vereda Aldana</t>
  </si>
  <si>
    <t>Asociación de Usuarios Acueducto Potrerito Aldana Municipio El Santuario-Aldana</t>
  </si>
  <si>
    <t>Asociación de Usuarios Acueducto Multiveredal San Eusebio El Roble Aldana Las Lajas El Carmelo Municipio El Santuario- El Roble</t>
  </si>
  <si>
    <t>Vereda Aldana</t>
  </si>
  <si>
    <t>Asociación de Usuarios Acueducto Multiveredal San Eusebio El Roble Aldana Las Lajas El Carmelo Municipio El Santuario- Aldana</t>
  </si>
  <si>
    <t>Asociación de Usuarios Acueducto Vereda El Morro</t>
  </si>
  <si>
    <t>Vereda Las Lajas</t>
  </si>
  <si>
    <t xml:space="preserve">Asociación de Usuarios Acueducto Vereda Las Lajas </t>
  </si>
  <si>
    <t>Vereda Las Palmas</t>
  </si>
  <si>
    <t>Asociación de Usuarios Acueducto Veredal Las Palmas</t>
  </si>
  <si>
    <t>Vereda Palmar  La Paz</t>
  </si>
  <si>
    <t xml:space="preserve">Asociación de Usuarios Acueducto Palmar La Paz </t>
  </si>
  <si>
    <t>Vereda Morritos</t>
  </si>
  <si>
    <t>Asociación de Usuarios Acueducto Morritos</t>
  </si>
  <si>
    <t>Vereda Las Colinas</t>
  </si>
  <si>
    <t>Asociación de Usuarios Acueducto Las Colinas</t>
  </si>
  <si>
    <t>Vereda El Salto</t>
  </si>
  <si>
    <t>Asociación de Usuarios Acueducto Palmarcito El Salto E.S.P.D-El Salto</t>
  </si>
  <si>
    <t>Vereda San Eusebio</t>
  </si>
  <si>
    <t>Asociación de Usuarios Acueducto Multiveredal San Eusebio El Roble Aldana Las Lajas El Carmelo Municipio El Santuario-San Eusebio</t>
  </si>
  <si>
    <t>Vereda  La  Aurora</t>
  </si>
  <si>
    <t>Asociación de Usuarios Acueducto Veredal La Aurora</t>
  </si>
  <si>
    <t>Vereda La Cuchilla</t>
  </si>
  <si>
    <t>Asociación de Usuarios Acueducto Vereda Pavas La Cuchilla E.P.S.D- La Cuchilla</t>
  </si>
  <si>
    <t>Asociación de Usuarios Acueducto Multiveredal San Eusebio El Roble Aldana Las Lajas El Carmelo Municipio El Santuario- Las Lajas</t>
  </si>
  <si>
    <t>Junta Administradora Acueducto Campo Alegre</t>
  </si>
  <si>
    <t>Vereda Aldana Arriba</t>
  </si>
  <si>
    <t>Asociacion de Usuarios Acueducto Vereda Aldana Arriba</t>
  </si>
  <si>
    <t>Vereda Bodeguitas</t>
  </si>
  <si>
    <t>Junta Administradora Acueducto Vereda Bodeguitas</t>
  </si>
  <si>
    <t>Vereda La Teneria</t>
  </si>
  <si>
    <t>Asociación de Usuarios y Suscriptores del Servicio Publico de Acueducto de La Vereda La Teneria E.P.S.D.</t>
  </si>
  <si>
    <t>Vereda La Serrania</t>
  </si>
  <si>
    <t>Asociacion de Usuarios del Acueducto La Serrania E.S.P.D</t>
  </si>
  <si>
    <t>Asociación de Usuarios Acueducto Vereda El Salto</t>
  </si>
  <si>
    <t xml:space="preserve">Junta Administradora Acueducto Vereda Buena Vista                    </t>
  </si>
  <si>
    <t>Barrio El Calvario Rural</t>
  </si>
  <si>
    <t>Asociación de Usuarios Acueducto Barrio Alto del Calvario- Zona Rural</t>
  </si>
  <si>
    <t>Vereda El Salaito</t>
  </si>
  <si>
    <t>Asociación de Usuarios del Acueducto Multiveredal Lourdes-Salaito</t>
  </si>
  <si>
    <t>Junta de Acción Comunal San Matías</t>
  </si>
  <si>
    <t>Junta de Acción Comunal El Vergel</t>
  </si>
  <si>
    <t>Vereda Vahitos</t>
  </si>
  <si>
    <t>Junta de Acción Comunal Vahitos</t>
  </si>
  <si>
    <t>Junta de Acción Comunal La Cascada</t>
  </si>
  <si>
    <t>Vereda Tafetanes</t>
  </si>
  <si>
    <t>Junta de Acción Comunal Tafetanes</t>
  </si>
  <si>
    <t>Asociación de Usuarios Suscriptores del Acueducto Rural Aguas Cristalinas- Los Medios</t>
  </si>
  <si>
    <t>Asociacion de Usuarios Suscriptores del Acueducto Rural- La Quiebra</t>
  </si>
  <si>
    <t>Vereda Reyes</t>
  </si>
  <si>
    <t>Junta de Acción Comunal Reyes</t>
  </si>
  <si>
    <t>Junta de Acción Comunal Quebradona Abajo</t>
  </si>
  <si>
    <t>Junta de Acción Comunal Malpaso</t>
  </si>
  <si>
    <t>Vereda Primavera</t>
  </si>
  <si>
    <t>Junta de Acción Comunal Primavera</t>
  </si>
  <si>
    <t>Vereda Los Planes</t>
  </si>
  <si>
    <t>Junta de Acción Comunal Los Planes</t>
  </si>
  <si>
    <t>Vereda Buenavista</t>
  </si>
  <si>
    <t>Junta de Acción Comunal Buena Vista</t>
  </si>
  <si>
    <t>NO</t>
  </si>
  <si>
    <t>Vereda El Tabor</t>
  </si>
  <si>
    <t>Junta de Acción Comunal El Tabor</t>
  </si>
  <si>
    <t>Vereda La Merced</t>
  </si>
  <si>
    <t>Junta de Acción Comunal La Merced</t>
  </si>
  <si>
    <t>Vereda El Eden</t>
  </si>
  <si>
    <t>Acueducto Multiveredal San Esteban, El Roble y El Eden-El Eden</t>
  </si>
  <si>
    <t>Acueducto Multiveredal San Esteban, El Roble y El Eden-El Roble</t>
  </si>
  <si>
    <t>Vereda Las Vegas</t>
  </si>
  <si>
    <t>Junta de Acción Comunal Las Vegas</t>
  </si>
  <si>
    <t>Acueducto Multiveredal San Esteban, El Roble y El Eden-San Esteban</t>
  </si>
  <si>
    <t>Vereda La Aguada</t>
  </si>
  <si>
    <t>Asociacion de Usuarios Suscriptores del Acueducto Rural Los Pomos de La Vereda- La Aguada</t>
  </si>
  <si>
    <t>Vereda Minitas</t>
  </si>
  <si>
    <t>Junta Administradora  de Acueducto Vereda Minitas</t>
  </si>
  <si>
    <t>Junta Administradora  de Acueducto Vereda Santa Ana</t>
  </si>
  <si>
    <t>Vereda Las Faldas</t>
  </si>
  <si>
    <t>Junta Administradora  de Acueducto Vereda Las Faldas</t>
  </si>
  <si>
    <t>Vereda Juan XXIII</t>
  </si>
  <si>
    <t>Asociacion de Suscriptores del Acueducto Multiveredal Juan XXIII-Chaparrall- Juan XXIII</t>
  </si>
  <si>
    <t>Junta de Acción Comunal Vereda Bellavista</t>
  </si>
  <si>
    <t>Vereda San Jose Canoas Sector Bajo</t>
  </si>
  <si>
    <t>Asociacion de Usuarios del Acueducto Veredal San Jose - Canoas Sector Bajo</t>
  </si>
  <si>
    <t>Asociacion de Usuarios del Acueducto Veredal San Jose -  San Jose</t>
  </si>
  <si>
    <t>Vereda Yolombal</t>
  </si>
  <si>
    <t>Asociación de Suscriptores del Acueducto Multiveredal El Roble - Yolombal</t>
  </si>
  <si>
    <t>Vereda La Enea</t>
  </si>
  <si>
    <t>Asociacion de Suscriptores del Acueducto Multiveredal El Roble - La Enea</t>
  </si>
  <si>
    <t>Vereda Palmar</t>
  </si>
  <si>
    <t>Asociación de Suscriptores del Acueducto Multiveredal El Roble - El Palmar</t>
  </si>
  <si>
    <t>Asociacion de Usuarios del Servicio de Acueducto de La Vereda Yolombal</t>
  </si>
  <si>
    <t>Vereda Hojas Anchas</t>
  </si>
  <si>
    <t>Asociacion de Suscriptores del Acueducto Hondita Hojas Anchas del Municipio de Guarne ASACUHAN – Hojas Anchas</t>
  </si>
  <si>
    <t>Asociacion de Suscriptores del Acueducto Hondita Hojas Anchas del Municipio de Guarne ASACUHAN – La Clara</t>
  </si>
  <si>
    <t>Asociacion de Suscriptores del Acueducto Hondita Hojas Anchas del Municipio de Guarne ASACUHAN– Bellavista</t>
  </si>
  <si>
    <t>Vereda Toldas</t>
  </si>
  <si>
    <t>Asociacion de Suscriptores del Acueducto Hondita Hojas Anchas del Municipio de Guarne ASACUHAN – Toldas</t>
  </si>
  <si>
    <t>Vereda Canoas</t>
  </si>
  <si>
    <t>Asociacion de Suscriptores del Acueducto Hondita Hojas Anchas del Municipio de Guarne ASACUHAN – Canoas</t>
  </si>
  <si>
    <t>Vereda La Mosquita</t>
  </si>
  <si>
    <t>Asociacion de Suscriptores del Acueducto Hondita Hojas Anchas del Municipio de Guarne ASACUHAN – La Mosquita</t>
  </si>
  <si>
    <t>Asociacion de Suscriptores del Acueducto Hondita Hojas Anchas del Municipio de Guarne ASACUHAN – San Jose</t>
  </si>
  <si>
    <t>Vereda La Hondita</t>
  </si>
  <si>
    <t>Aasociacion de Suscriptores del Acueducto Hondita Hojas Anchas del Municipio de Guarne ASACUHAN – Hondita</t>
  </si>
  <si>
    <t>Asociacion de Usuarios del Acueducto Ensenillo Asoense - El Salado</t>
  </si>
  <si>
    <t>Vereda La Brizuela</t>
  </si>
  <si>
    <t>Asociacion de Usuarios del Acueducto Ensenillo Asoense- La Brizuela</t>
  </si>
  <si>
    <t>Asociacion de Usuarios del Acueducto Ensenillo Asoense-San Isidro</t>
  </si>
  <si>
    <t>Vereda Sango parte baja</t>
  </si>
  <si>
    <t>Asociacion de Usuarios del Acueducto Ensenillo Asoense- Sango Parte Baja</t>
  </si>
  <si>
    <t>Asociacion de Usuarios del Acueducto El Rosario Piedras Blancas- Piedras Blancas</t>
  </si>
  <si>
    <t>Vereda Barro Blanco</t>
  </si>
  <si>
    <t>Asociacion de Usuarios del Acueducto El Rosario Piedras Blanca- Barro Blanco</t>
  </si>
  <si>
    <t>Asociacion de Usuarios del Acueducto El Rosario Piedras Blanca- San Isidro</t>
  </si>
  <si>
    <t>Vereda San Antonio Parte Baja</t>
  </si>
  <si>
    <t>Asociacion de Suscriptores del Acueducto Barrio San Antonio Aguasanan-San Antonio Parte Baja</t>
  </si>
  <si>
    <t>Vereda Guapante</t>
  </si>
  <si>
    <t>Asociacion Acueducto Guapante Asoagua</t>
  </si>
  <si>
    <t>Vereda Chaparral</t>
  </si>
  <si>
    <t>Asociacion de Suscriptores del Acueducto Multiveredal Juan XXIII Chaparral- Chaparral</t>
  </si>
  <si>
    <t>Asociacion de Suscriptores del Acueducto Multiveredal Juan XXIII Chaparral-Guamito</t>
  </si>
  <si>
    <t>Vereda Garrido</t>
  </si>
  <si>
    <t>Asociacion de Suscriptores del Acueducto Multiveredal Juan XXIII Chaparral-Garrido</t>
  </si>
  <si>
    <t>Vereda San Antonio Parte Alta</t>
  </si>
  <si>
    <t>Asociacion de Suscriptores del Acueducto Barrio San Antonio Aguasanan- San Antonio Parte Alta</t>
  </si>
  <si>
    <t>Asociacion de Usuarios del Acueducto Veredal La Clara</t>
  </si>
  <si>
    <t>Vereda El Colorado</t>
  </si>
  <si>
    <t>Asociacion de Suscriptores Acueducto Multiveredal El Colorado Asucol - Colorado</t>
  </si>
  <si>
    <t>Asociacion de Suscriptores Acueducto Multiveredal El Colorado Asucol - Bellavista</t>
  </si>
  <si>
    <t>Vereda  Garrido</t>
  </si>
  <si>
    <t>Asociacion de Suscriptores Acueducto Multiveredal El Colorado Asucol - Garrido</t>
  </si>
  <si>
    <t>Asociacion de Suscriptores Acueducto Multiveredal El Colorado Asucol - Toldas</t>
  </si>
  <si>
    <t>Asociacion de Suscriptores Acueducto Multiveredal El Colorado Asucol - Chaparral</t>
  </si>
  <si>
    <t>Vereda Berracal</t>
  </si>
  <si>
    <t>Asociacion de Suscriptores Acueducto Multiveredal El Colorado Asucol - Berracal</t>
  </si>
  <si>
    <t>Vereda La Charanga Parte Alta</t>
  </si>
  <si>
    <t>Asociacion de Usuarios Acueducto La Charanga Parte Alta</t>
  </si>
  <si>
    <t>Asociacion de Usuarios del Acueducto de La Vereda La Brizuela</t>
  </si>
  <si>
    <t>Asociacion de Suscriptores Aguas La Chorrera  - La Mosquita</t>
  </si>
  <si>
    <t>Vereda San Ignacio</t>
  </si>
  <si>
    <t>Asociacion de Usuarios del Acueducto San Ignacio A.S.U.A.S.I. -San Ignacio</t>
  </si>
  <si>
    <t>Vereda Montañez</t>
  </si>
  <si>
    <t>Asociacion de Usuarios del Acueducto Montanes El Aguacate - Montañez</t>
  </si>
  <si>
    <t>Vereda El Sango</t>
  </si>
  <si>
    <t>Asociacion de Usuarios del Servicio de Acueducto de La Vereda El Sango -El Sango</t>
  </si>
  <si>
    <t>Vereda El Molino</t>
  </si>
  <si>
    <t>Asociacion de Usuarios del Servicio de Acueducto de La Vereda El Sango - El Molino</t>
  </si>
  <si>
    <t>Vereda  Montañez</t>
  </si>
  <si>
    <t>Asociacion de Usuarios del Servicio de Acueducto de La Vereda El Sango - Montañez</t>
  </si>
  <si>
    <t>Vereda  El Salado</t>
  </si>
  <si>
    <t>Asociacion de Usuarios del Servicio de Acueducto de La Vereda El Sango - El Salado</t>
  </si>
  <si>
    <t>Vereda  San Isidro</t>
  </si>
  <si>
    <t>Asociacion de Usuarios del Servicio de Acueducto de La Vereda El Sango - San Isidro</t>
  </si>
  <si>
    <t>Vereda  Romeral</t>
  </si>
  <si>
    <t>Asociacion de Usuarios del Servicio de Acueducto de La Vereda El Sango - Romeral</t>
  </si>
  <si>
    <t>Asociacion de Usuarios del Acueducto de La Vereda San Isidro- San Isidro</t>
  </si>
  <si>
    <t>Vereda Batea Seca</t>
  </si>
  <si>
    <t>Vereda El Aguacate parte baja</t>
  </si>
  <si>
    <t>Asociacion de Usuarios del Acueducto Montanes El Aguacate - El Agucate Sector Bajo</t>
  </si>
  <si>
    <t>Vereda La Cabaña</t>
  </si>
  <si>
    <t>Vereda El Romeral</t>
  </si>
  <si>
    <t xml:space="preserve"> Asociacion de Usuarios del Acueducto de La Vereda Romeral</t>
  </si>
  <si>
    <t>Vereda La Pastorcita</t>
  </si>
  <si>
    <t>Asociacion de Usuarios del Acueducto La Pastorcita - La Pastorcita</t>
  </si>
  <si>
    <t>Asociacion de Usuarios del Acueducto La Pastorcita - El Molino</t>
  </si>
  <si>
    <t>Asociacion de Usuarios del Acueducto Multiveredal El Molino -El Molino</t>
  </si>
  <si>
    <t>Vereda Sierra Linda</t>
  </si>
  <si>
    <t>Asociacion de Usuarios del Acueducto Multiveredal El Molino -Sierra Linda</t>
  </si>
  <si>
    <t>Vereda Alto de la Virgen</t>
  </si>
  <si>
    <t>Asociacion de Usuarios del Acueducto Alto de La Virgen - Alto de La Virgen</t>
  </si>
  <si>
    <t>Vereda Alto de La Virgen Parte Alta</t>
  </si>
  <si>
    <t>Asociacion de Usuarios del Acueducto Alto de La Virgen - Parte Alta</t>
  </si>
  <si>
    <t>Vereda Romeral</t>
  </si>
  <si>
    <t>Vereda La Mejia</t>
  </si>
  <si>
    <t>Asociacion Acueducto Vereda La Mejia - La Mejia</t>
  </si>
  <si>
    <t>Vereda Monteoscuro</t>
  </si>
  <si>
    <t>Asociacion Acueducto Vereda La Mejia -Monteoscuro</t>
  </si>
  <si>
    <t>Junta Administradora Acueducto Sonadora</t>
  </si>
  <si>
    <t>Vereda La Piedra</t>
  </si>
  <si>
    <t>Asociacion de Usuarios del Acueducto Multiveredal La Piedra La Pena y Los Naranjos-La Piedra</t>
  </si>
  <si>
    <t>Junta de Acción Comunal Vereda El Roble</t>
  </si>
  <si>
    <t>Junta Administradora Acueducto Quebrada Arriba</t>
  </si>
  <si>
    <t>Vereda San Miguel</t>
  </si>
  <si>
    <t>Vereda Guamito sector Capiro</t>
  </si>
  <si>
    <t>Vereda Los Saltos</t>
  </si>
  <si>
    <t>Vereda Piedras El Salvio</t>
  </si>
  <si>
    <t>Vereda  San Nicolas</t>
  </si>
  <si>
    <t>Corregimiento San Jose Cestillal</t>
  </si>
  <si>
    <t>Corregimiento San Jose La Palma</t>
  </si>
  <si>
    <t>Vereda La Miel</t>
  </si>
  <si>
    <t>Vereda El Higuerón Los Planes</t>
  </si>
  <si>
    <t>Vereda El Tambo</t>
  </si>
  <si>
    <t>Vereda San Gerardo</t>
  </si>
  <si>
    <t>Vereda La Loma</t>
  </si>
  <si>
    <t>Vereda Vallejuelitos Peñas</t>
  </si>
  <si>
    <t xml:space="preserve">Junta de Accion Comunal Vallejuelito Peñas </t>
  </si>
  <si>
    <t>Vereda La Concha</t>
  </si>
  <si>
    <t>Junta de Accion Comunal La Concha</t>
  </si>
  <si>
    <t>Corregimiento Mesopotamia</t>
  </si>
  <si>
    <t>Asociación de Usuarios del Acueducto y Alcantarillado del Corregimiento de Mesopotamia</t>
  </si>
  <si>
    <t>Junta de Accion Comunal  Pantalio</t>
  </si>
  <si>
    <t>Vereda La Almeria</t>
  </si>
  <si>
    <t>Asociacion de Usuarios del Acueducto de La Vereda La Almeria</t>
  </si>
  <si>
    <t xml:space="preserve">Junta de Accion Comunal Minitas </t>
  </si>
  <si>
    <t>Vereda La Palmera</t>
  </si>
  <si>
    <t>Junta de Accion Comunal La Palmera</t>
  </si>
  <si>
    <t>Vereda Chuscalito</t>
  </si>
  <si>
    <t>Asociación de Usuarios del Acueducto Chuscalito</t>
  </si>
  <si>
    <t>Asociación de Usuarios del Acueducto y Alcantarillado de La Vereda Buenavista</t>
  </si>
  <si>
    <t>Vereda El Cardal</t>
  </si>
  <si>
    <t>Asociación de Asociados del Acueducto de La Vereda El Cardal</t>
  </si>
  <si>
    <t>Vereda Las Teresas</t>
  </si>
  <si>
    <t>Asociación de Asociados del Acueducto de La Vereda Las Teresas</t>
  </si>
  <si>
    <t>Asociación de Usuarios del Acueducto de La Vereda Quebrada Negra Asuaquen Municipio de La Union departamento de Antioquia</t>
  </si>
  <si>
    <t>Vereda El Guarango</t>
  </si>
  <si>
    <t>Asociación de Usuarios del Acueducto de La Vereda El Guarango Asuagun Municipio de La Union departamento de Antioquia</t>
  </si>
  <si>
    <t>Vereda Fatima</t>
  </si>
  <si>
    <t>Asociacion de Asociados del Acueducto de La Vereda Fatima</t>
  </si>
  <si>
    <t>Asociación de Usuarios del Acueducto San Juan</t>
  </si>
  <si>
    <t>Vereda Colmenas García</t>
  </si>
  <si>
    <t>Asociación de Usuarios del Acueducto y/o Alcantarillado Colmenas García</t>
  </si>
  <si>
    <t>Vereda Las Brisas</t>
  </si>
  <si>
    <t xml:space="preserve">Junta de Accion Comunal Las Brisas </t>
  </si>
  <si>
    <t>Asociación de Socios del Acueducto de Las Acacias del Municipio del Carmen de Viboral - Las Acacias</t>
  </si>
  <si>
    <t>Sector El Hoyo</t>
  </si>
  <si>
    <t>Asociacion de Usuarios Propietarios de Acueducto Rural de Llanadas-Sector El Hoyo</t>
  </si>
  <si>
    <t>Sector Yolombos</t>
  </si>
  <si>
    <t>Asociacion de Usuarios Propietarios de Acueducto Rural de Llanadas-Sector Yolombos</t>
  </si>
  <si>
    <t>Vereda Cascajo Abajo</t>
  </si>
  <si>
    <t>Asociados del Acueducto de Cascajo- Cascajo Abajo</t>
  </si>
  <si>
    <t>Asociados del Acueducto de Cascajo - Campo Alegre</t>
  </si>
  <si>
    <t>Vereda Cimarronas</t>
  </si>
  <si>
    <t>Asociados del Acueducto de Cascajo- Cimarronas</t>
  </si>
  <si>
    <t>Vereda Cascajo Arriba</t>
  </si>
  <si>
    <t>Asociados del Acueducto de Cascajo- Cascajo Arriba</t>
  </si>
  <si>
    <t>Vereda Las Mercedes</t>
  </si>
  <si>
    <t>Acueducto Las Mercedes, La Esperanza, La Esmeralda y El Chagualo-Las Mercedes</t>
  </si>
  <si>
    <t>Vereda La Esmeralda</t>
  </si>
  <si>
    <t>Acueducto Las Mercedes, La Esperanza, La Esmeralda y El Chagualo-La Esmeraldo</t>
  </si>
  <si>
    <t>Acueducto Las Mercedes, La Esperanza, La Esmeralda y El Chagualo-La Esperanza</t>
  </si>
  <si>
    <t>Vereda El Chagualo</t>
  </si>
  <si>
    <t>Acueducto Las Mercedes, La Esperanza, La Esmeralda y El Chagualo-El Chagualo</t>
  </si>
  <si>
    <t>Vereda Chocho Mayo</t>
  </si>
  <si>
    <t>Asociación de Usuarios Propietarios del Acueducto Rural Alto del Mercado-Chocho Mayo</t>
  </si>
  <si>
    <t>Vereda Alto del Mercado</t>
  </si>
  <si>
    <t>Asociación de Usuarios Propietarios del Acueducto Rural Alto del Mercado-Alto del Mercado</t>
  </si>
  <si>
    <t>Vereda Santa Cruz</t>
  </si>
  <si>
    <t>Asociación de Usuarios Propietarios del Acueducto Rural Alto del Mercado-Santa Cruz</t>
  </si>
  <si>
    <t>Asociación de Usuarios Propietarios del Acueducto Rural Alto del Mercado-San Jose</t>
  </si>
  <si>
    <t>Vereda Pozo</t>
  </si>
  <si>
    <t>Asociacion de Usuarios Propietarios del Acueducto Multiveredal Pozo, La Inmaculada, Milagrosa-Pozo</t>
  </si>
  <si>
    <t>Asociacion de Usuarios Propietarios del Acueducto Multiveredal Pozo, La Inmaculada, Milagrosa-La Inmaculada</t>
  </si>
  <si>
    <t>Asociacion de Usuarios Propietarios del Acueducto Multiveredal Pozo, La Inmaculada, Milagrosa-El Rosario</t>
  </si>
  <si>
    <t>Asociacion de Usuarios Propietarios del Acueducto Multiveredal Pozo, La Inmaculada, Milagrosa-La Milagrosa</t>
  </si>
  <si>
    <t>Asociacion de Usuarios Propietarios del Acueducto Multiveredal Pozo, La Inmaculada, Milagrosa-El Porvenir</t>
  </si>
  <si>
    <t>Vereda Salto Arriba</t>
  </si>
  <si>
    <t>Asociacion Usuarios Propietarios del Acueducto Multiveredal Los Saltos-Salto Arriba</t>
  </si>
  <si>
    <t>Vereda Salto Abajo</t>
  </si>
  <si>
    <t>Asociacion Usuarios Propietarios del Acueducto Multiveredal Los Saltos-Salto Abajo</t>
  </si>
  <si>
    <t>Asociacion Usuarios Propietarios del Acueducto Multiveredal Los Saltos-Chocho Mayo</t>
  </si>
  <si>
    <t>Asociacion Usuarios Propietarios del Acueducto Multiveredal Los Saltos-El Rosario</t>
  </si>
  <si>
    <t>Vereda Montañita Arriba</t>
  </si>
  <si>
    <t>Asociacion de Usuarios Propietarios del Acueducto Montañita Arriba</t>
  </si>
  <si>
    <t>Vereda Montañita</t>
  </si>
  <si>
    <t>Asociacion Usuarios Propietarios del Acueducto Multiveredal Los Saltos-Montañita</t>
  </si>
  <si>
    <t>Vereda La Asuncion</t>
  </si>
  <si>
    <t>Asociacion Usuarios Propietarios del Acueducto Multiveredal Los Saltos-La Asunción</t>
  </si>
  <si>
    <t>Vereda Yarumos</t>
  </si>
  <si>
    <t>Asociacion Usuarios Propietarios del Acueducto Multiveredal Los Saltos-Yarumos</t>
  </si>
  <si>
    <t>Vereda  La Peña</t>
  </si>
  <si>
    <t>Asociacion Usuarios Propietarios del Acueducto Multiveredal Los Saltos-La Peña</t>
  </si>
  <si>
    <t>Asociacion Usuarios Propietarios del Acueducto Multiveredal Los Saltos-El Porvenir</t>
  </si>
  <si>
    <t xml:space="preserve"> Vereda Gaviria Sector La Escuela</t>
  </si>
  <si>
    <t>Asociación de Usuarios Propietarios del Acueducto Multiveredal Gaviria San Juan Bosco Aguas-Gaviria Sector La Escuela</t>
  </si>
  <si>
    <t>Verda Gaviria Sector Planta de Tratamiento</t>
  </si>
  <si>
    <t>Asociación de Usuarios Propietarios del Acueducto Multiveredal Gaviria San Juan Bosco Aguas-Gaviria Sector Planta de Tratamiento</t>
  </si>
  <si>
    <t>Asociación de Usuarios Propietarios del Acueducto Multiveredal Gaviria San Juan Bosco Aguas-Cristo Rey</t>
  </si>
  <si>
    <t>Vereda San Juan Bosco</t>
  </si>
  <si>
    <t>Asociación de Usuarios Propietarios del Acueducto Multiveredal Gaviria San Juan Bosco Aguas-San Juan Bosco</t>
  </si>
  <si>
    <t>Vereda El Recodo</t>
  </si>
  <si>
    <t>Asociación de Usuarios Propietarios del Acueducto Multiveredal Gaviria San Juan Bosco Aguas-El Recodo</t>
  </si>
  <si>
    <t>Asociación de Usuarios Propietarios del Acueducto Rural La Primavera El Socorro La Asunción y Parte del Alto del Mercado-El Socorro</t>
  </si>
  <si>
    <t>Vereda La Asunción</t>
  </si>
  <si>
    <t>Asociación de Usuarios Propietarios del Acueducto Rural La Primavera El Socorro La Asunción y Parte del Alto del Mercado-La Asunción</t>
  </si>
  <si>
    <t>Vereda Alto Del Mercado</t>
  </si>
  <si>
    <t>Asociación de Usuarios Propietarios del Acueducto Rural La Primavera El Socorro La Asunción y Parte del Alto del Mercado-Alto del Mercado</t>
  </si>
  <si>
    <t>Asociación de Usuarios Propietarios del Acueducto Rural La Primavera El Socorro La Asunción y Parte del Alto del Mercado-La Primavera</t>
  </si>
  <si>
    <t>Vereda La Aurora</t>
  </si>
  <si>
    <t>Vereda El Capiro</t>
  </si>
  <si>
    <t>Vereda Pontezuela</t>
  </si>
  <si>
    <t>Acueducto Río Abajo Los Pinos</t>
  </si>
  <si>
    <t>Vereda Santa Teresa</t>
  </si>
  <si>
    <t>Junta de Accion Comunal Vereda El Tabor</t>
  </si>
  <si>
    <t>Vereda Peñoles</t>
  </si>
  <si>
    <t>Junta de Accion Comunal Vereda Peñoles</t>
  </si>
  <si>
    <t>Vereda Arenosas</t>
  </si>
  <si>
    <t>Junta de Accion Comunal Arenosas</t>
  </si>
  <si>
    <t>Corregimiento El Jordan</t>
  </si>
  <si>
    <t>Asociacion de Usuarios Acueducto El Jordan AUAJOR</t>
  </si>
  <si>
    <t>Corregimiento Puerto Garza</t>
  </si>
  <si>
    <t>Junta de Accion Comunal Corregimiento Puerto Garza</t>
  </si>
  <si>
    <t>Vereda Dinamarca</t>
  </si>
  <si>
    <t>Junta de Accion Comunal Vereda Dinamarca</t>
  </si>
  <si>
    <t>Vereda Palmichal</t>
  </si>
  <si>
    <t>Asociacion de Usuarios Acueducto Palmichal</t>
  </si>
  <si>
    <t>Vereda La Rapida</t>
  </si>
  <si>
    <t>Asociacion de Usuarios del Acueducto La Rapida</t>
  </si>
  <si>
    <t>Vereda Santa Rita</t>
  </si>
  <si>
    <t>Junta de Accion Comunal Vereda Santa Rita</t>
  </si>
  <si>
    <t>Vereda Dos Quebradas</t>
  </si>
  <si>
    <t>Junta de Accion Comunal Vereda Dos Quebradas</t>
  </si>
  <si>
    <t>Junta de Accion Comunal Vereda El Choco</t>
  </si>
  <si>
    <t>Corregimiento Samana del Norte</t>
  </si>
  <si>
    <t>Junta de Accion Comunal Corregimiento Samana del Norte</t>
  </si>
  <si>
    <t>Vereda La Holanda</t>
  </si>
  <si>
    <t>Junta de Accion Comunal La Holanda</t>
  </si>
  <si>
    <t>Vereda El Paraguas</t>
  </si>
  <si>
    <t>Junta de Accion Comunal Vereda El Paraguas</t>
  </si>
  <si>
    <t>Vereda Agualinda</t>
  </si>
  <si>
    <t>Junta de Accion Comunal Agualinda</t>
  </si>
  <si>
    <t>Corregimiento Aquitania</t>
  </si>
  <si>
    <t>Junta de Accion Comunal Vereda Aquitania</t>
  </si>
  <si>
    <t>Vereda Pocitos</t>
  </si>
  <si>
    <t>Junta de Accion Comunal  Vereda Pocitos</t>
  </si>
  <si>
    <t>Vereda El Pajui</t>
  </si>
  <si>
    <t>Junta de Accion Comunal Vereda El Pajui</t>
  </si>
  <si>
    <t>Junta de Accion Comunal San Isidro</t>
  </si>
  <si>
    <t>Junta de Accion Comunal Vereda La Esperanza</t>
  </si>
  <si>
    <t>Vereda La Cristalina</t>
  </si>
  <si>
    <t>Junta de Accion Comunal Vereda La Cristalina</t>
  </si>
  <si>
    <t>Vereda Farallones</t>
  </si>
  <si>
    <t>Junta de Accion Comunal Vereda Farallones</t>
  </si>
  <si>
    <t xml:space="preserve">Corregimiento El Prodigio Central     </t>
  </si>
  <si>
    <t>Junta de Accion Comunal El Prodigio Central</t>
  </si>
  <si>
    <t xml:space="preserve">Corregimiento El Prodigio Barrio Valencia     </t>
  </si>
  <si>
    <t>Junta de Accion Comunal Barrio Valencia</t>
  </si>
  <si>
    <t>Junta de Accion Comunal Buenos Aires</t>
  </si>
  <si>
    <t>Vereda La Josefina</t>
  </si>
  <si>
    <t>Junta Administradora de Acueducto  La Josefina</t>
  </si>
  <si>
    <t>Junta de Accion Comunal Monteloro</t>
  </si>
  <si>
    <t>Vereda Cuba</t>
  </si>
  <si>
    <t>Junta de Accion Comunal Cuba</t>
  </si>
  <si>
    <t>Junta de Accion Comunal San Francisco</t>
  </si>
  <si>
    <t>Vereda Sopetran</t>
  </si>
  <si>
    <t>Junta de Accion Comunal Sopetran</t>
  </si>
  <si>
    <t>Vereda El Arenal</t>
  </si>
  <si>
    <t>Junta de Accion Comunal Barrio Totumito-Totumito</t>
  </si>
  <si>
    <t>Vereda la Rápida</t>
  </si>
  <si>
    <t>Junta de Accion Comunal La Rapida</t>
  </si>
  <si>
    <t>Vereda Bizcocho</t>
  </si>
  <si>
    <t>Junta de Accion Comunal El Bizcocho</t>
  </si>
  <si>
    <t>Vereda el Silencio</t>
  </si>
  <si>
    <t>Junta de Accion Comunal Vereda El Silencio</t>
  </si>
  <si>
    <t xml:space="preserve">Vereda Balsas </t>
  </si>
  <si>
    <t>Junta de Accion Comunal Balsas</t>
  </si>
  <si>
    <t>Junta de Accion Comunal El Brasil</t>
  </si>
  <si>
    <t>Vereda El Charco</t>
  </si>
  <si>
    <t>Junta de Accion Comunal El Charco</t>
  </si>
  <si>
    <t>Vereda El Topacio</t>
  </si>
  <si>
    <t>Junta de Accion Comunal El Topacio</t>
  </si>
  <si>
    <t>Vereda La Dorada</t>
  </si>
  <si>
    <t>Junta de Accion Comunal La Dorada</t>
  </si>
  <si>
    <t>Vereda Arenal</t>
  </si>
  <si>
    <t>Junta de Accion Comunal Barrio Totumito-El Arenal</t>
  </si>
  <si>
    <t>Vereda Piedras Arriba</t>
  </si>
  <si>
    <t>Junta Administradora Piedrasan-Piedras Arriba</t>
  </si>
  <si>
    <t>Vereda Danticas</t>
  </si>
  <si>
    <t>Junta Administradora Piedrasan-Danticas</t>
  </si>
  <si>
    <t>Vereda Tesorito</t>
  </si>
  <si>
    <t>Junta de Accion Comunal Tesorito</t>
  </si>
  <si>
    <t>Vereda La Cumbre</t>
  </si>
  <si>
    <t>Junta de Accion Comunal La Cumbre</t>
  </si>
  <si>
    <t>Vereda San Julian</t>
  </si>
  <si>
    <t>Junta de Accion Comunal San Julian</t>
  </si>
  <si>
    <t>Vereda El Brasil Parte Baja</t>
  </si>
  <si>
    <t>Junta de Accion Comunal Guayabal</t>
  </si>
  <si>
    <t>Acueducto Alto de La Compañía-Alto de La Compañía</t>
  </si>
  <si>
    <t>Asociacion de Suscriptores del Acueducto Veredal La Mina Vereda La Enea-La Enea</t>
  </si>
  <si>
    <t>Asociacion de Suscriptores del Acueducto Veredal La Mina Vereda La Enea-San Nicolás</t>
  </si>
  <si>
    <t>Acueducto Alto de La Compañía-El Potrero</t>
  </si>
  <si>
    <t>Asociacion de Usuarios del Acueducto de Chaparral</t>
  </si>
  <si>
    <t>Asociacion de Usuarios del Acueducto de La Vereda La Magdalena</t>
  </si>
  <si>
    <t>Asociacion de Usuarios del Acueducto de La Vereda El Porvenir-La Magdalena</t>
  </si>
  <si>
    <t>Asociacion de Usuarios del Acueducto de La Vereda El Porvenir-El Calvario</t>
  </si>
  <si>
    <t>Asociacion de Usuarios del Acueducto de La Vereda El Porvenir-Guaciru</t>
  </si>
  <si>
    <t>Asociacion de Usuarios del Acueducto de La Vereda El Porvenir-Travesias</t>
  </si>
  <si>
    <t>Asociacion de Usuarios del Acueducto de La Vereda El Porvenir-Santa Ana</t>
  </si>
  <si>
    <t>Asociacion de Usuarios del Acueducto de La Vereda El Porvenir-Porvenir</t>
  </si>
  <si>
    <t>Asociacion de Usuarios del Acueducto Multiveredal San Jose -San Jose</t>
  </si>
  <si>
    <t>Asociacion de Usuarios del Acueducto Multiveredal San Jose -Cantor</t>
  </si>
  <si>
    <t>Asociacion de Usuarios del Acueducto Multiveredal San Jose-San Ignacio</t>
  </si>
  <si>
    <t>Asociacion de Usuarios del Acueducto Multiveredal Carmelo Corrientes-El Carmelo</t>
  </si>
  <si>
    <t>Asociacion de Usuarios del Acueducto Multiveredal Carmelo Corrientes-El Canelo</t>
  </si>
  <si>
    <t>Asociacion de Usuarios del Acueducto Multiveredal Carmelo Corrientes-El Porvenir</t>
  </si>
  <si>
    <t>Asociacion de Usuarios del Acueducto Multiveredal Carmelo Corrientes-Piedragorda</t>
  </si>
  <si>
    <t>Asociacion de Usuarios del Acueducto Multiveredal Carmelo Corrientes-Corrientes</t>
  </si>
  <si>
    <t>Asociacion de Usuarios del Acueducto Multiveredal Piedragorda-Piedragorda</t>
  </si>
  <si>
    <t>Acueducto Multiveredal Piedragorda, La Cabaña, Peñolcito, Guamal, Potrerito-Potrerito</t>
  </si>
  <si>
    <t>Acueducto Multiveredal Piedragorda, La Cabaña, Peñolcito, Guamal, Potrerito-La Cabaña</t>
  </si>
  <si>
    <t>Acueducto Multiveredal Piedragorda, La Cabaña, Peñolcito, Guamal, Potrerito-Peñolcitos</t>
  </si>
  <si>
    <t>Acueducto Multiveredal Piedragorda, La Cabaña, Peñolcito, Guamal, Potrerito-Guamal</t>
  </si>
  <si>
    <t>Asociacion de Usuarios del Acueducto de La Vereda El Porvenir-San Cristobal</t>
  </si>
  <si>
    <t>Asociacion de Usuarios del Acueducto Guaciru-El Calvario</t>
  </si>
  <si>
    <t>Asociacion de Usuarios del Acueducto Guaciru-Travesias</t>
  </si>
  <si>
    <t>Asociacion de Usuarios del Acueducto Guaciru-San Cristobal</t>
  </si>
  <si>
    <t>Asociacion de Usuarios del Acueducto Guaciru-Magdalena</t>
  </si>
  <si>
    <t>Asociacion de Usuarios del Acueducto Honda, Floresta,  Santa Ana-La Peña</t>
  </si>
  <si>
    <t>Asociacion de Usuarios del Acueducto Guaciru-Guaciru</t>
  </si>
  <si>
    <t>Asociacion de Usuarios del Acueducto Santa Rita</t>
  </si>
  <si>
    <t>Asociacion de Usuarios del Acueducto Honda, Floresta,  Santa Ana-Santa Ana</t>
  </si>
  <si>
    <t>Vereda El Calvario</t>
  </si>
  <si>
    <t>Vereda Travesias</t>
  </si>
  <si>
    <t>Vereda San Cristobal</t>
  </si>
  <si>
    <t>Vereda La Magdalena</t>
  </si>
  <si>
    <t>Vereda Guaciru</t>
  </si>
  <si>
    <t>Vereda La Honda</t>
  </si>
  <si>
    <t>Vereda Alto de La Compañia</t>
  </si>
  <si>
    <t xml:space="preserve">Vereda La Enea </t>
  </si>
  <si>
    <t>Vereda San Nicolas</t>
  </si>
  <si>
    <t>Vereda El Potrero</t>
  </si>
  <si>
    <t>Vereda Cantor</t>
  </si>
  <si>
    <t>Vereda El Canelo</t>
  </si>
  <si>
    <t>Vereda  Piedragorda</t>
  </si>
  <si>
    <t>Vereda Piedragorda</t>
  </si>
  <si>
    <t>Vereda Peñolcitos</t>
  </si>
  <si>
    <t>Vereda Guamal</t>
  </si>
  <si>
    <t>Vereda La Porquera</t>
  </si>
  <si>
    <t>Vereda La Danta</t>
  </si>
  <si>
    <t>Aguas del Páramo de Sonsón S.A.S E.S.P. -La Danta</t>
  </si>
  <si>
    <t xml:space="preserve">Asociación de Usuarios del Acueducto Alcantarillado y Aseo de San Miguel </t>
  </si>
  <si>
    <t>Vereda Alto de Sabanas</t>
  </si>
  <si>
    <t>Junta Administradora de Acueducto Veredal Alto de Sabanas</t>
  </si>
  <si>
    <t>Vereda Los Potreros</t>
  </si>
  <si>
    <t>Junta Administradora de Acueducto Los Potreros</t>
  </si>
  <si>
    <t>Junta Administradora de Acueducto Veredal Arenillal Aguacates- Las Brisas</t>
  </si>
  <si>
    <t>Vereda La Habana La Loma</t>
  </si>
  <si>
    <t>Junta de Acueducto Veredal La Habana La Loma</t>
  </si>
  <si>
    <t>Proacueducto Piedras Blancas</t>
  </si>
  <si>
    <t>Junta Administradora de Acueducto Veredal Guamal</t>
  </si>
  <si>
    <t>Vereda Megallo Centro</t>
  </si>
  <si>
    <t>Junta Administradora de Acueducto Veredal Megallo Centro</t>
  </si>
  <si>
    <t>Vereda Roblalito B</t>
  </si>
  <si>
    <t>Junta Administradora de Acueductos Veredales  Roblalito B</t>
  </si>
  <si>
    <t>Vereda Yarumal Alta Vista</t>
  </si>
  <si>
    <t>Junta Administradora de Acueducto Veredal Yarumal Alta Vista</t>
  </si>
  <si>
    <t>Vereda Jerusalen</t>
  </si>
  <si>
    <t>Junta Administradora de Acueducto Veredal Jerusalén</t>
  </si>
  <si>
    <t>Junta de Acueducto Veredal Rio Arriba - San Francisco</t>
  </si>
  <si>
    <t>Vereda El Chirimoyo</t>
  </si>
  <si>
    <t xml:space="preserve">Junta de Acueducto Veredal El Chirymoyo </t>
  </si>
  <si>
    <t>Vereda Rio Arriba</t>
  </si>
  <si>
    <t>Junta de Acueducto Veredal  Rio Arriba</t>
  </si>
  <si>
    <t>Junta Administradora Acueducto los  Planes</t>
  </si>
  <si>
    <t>Vereda Arenillal</t>
  </si>
  <si>
    <t>Junta Administradora de Acueducto Veredal Arenillal Aguacates- Arenillal</t>
  </si>
  <si>
    <t>Vereda Cascaron</t>
  </si>
  <si>
    <t>Vereda El Pital</t>
  </si>
  <si>
    <t>Vereda Sardinas</t>
  </si>
  <si>
    <t>Vereda Quebradona</t>
  </si>
  <si>
    <t>Vereda Santa Isabel</t>
  </si>
  <si>
    <t>Vereda Canalones</t>
  </si>
  <si>
    <t>Vereda  El Bagre</t>
  </si>
  <si>
    <t>Vereda El 62</t>
  </si>
  <si>
    <t>Vereda  Canutillo</t>
  </si>
  <si>
    <t>Vereda Corrales</t>
  </si>
  <si>
    <t>Corregimiento La Susana</t>
  </si>
  <si>
    <t>Corregimiento La Floresta</t>
  </si>
  <si>
    <t>Vereda El Ingenio</t>
  </si>
  <si>
    <t>Vereda Alto Dolores</t>
  </si>
  <si>
    <t>Vereda Guardasol</t>
  </si>
  <si>
    <t>Corregimiento El Brasil</t>
  </si>
  <si>
    <t>Junta de Acción Comunal Corregimiento El Brasil</t>
  </si>
  <si>
    <t>Corregimiento Virginias</t>
  </si>
  <si>
    <t>Junta de Acción Comunal corregimiento Virginias</t>
  </si>
  <si>
    <t>Corregimiento Puerto Murillo</t>
  </si>
  <si>
    <t>Junta de Acción Comunal corregimiento  Puerto Murillo</t>
  </si>
  <si>
    <t>Junta de Acción Comunal Vereda La Cristalina</t>
  </si>
  <si>
    <t>Batallon Bombona</t>
  </si>
  <si>
    <t>Acueducto Batallón Bombona</t>
  </si>
  <si>
    <t>Vereda  Las Flores</t>
  </si>
  <si>
    <t>Junta de Acción Comunal Vereda Las Flores</t>
  </si>
  <si>
    <t>Vereda  La Carlota</t>
  </si>
  <si>
    <t>Junta de Acción Comunal Vereda La Carlota</t>
  </si>
  <si>
    <t>Vereda Dorado Calamar</t>
  </si>
  <si>
    <t>Junta de Acción Comunal Vereda el Dorado-Calamar</t>
  </si>
  <si>
    <t>Vereda  San Juan Debedout</t>
  </si>
  <si>
    <t>Junta de Acción Comunal Vereda San Juan de Bedouth</t>
  </si>
  <si>
    <t>Vereda  Minas de Vapor</t>
  </si>
  <si>
    <t>Junta de Acción Comunal Minas de Vapor</t>
  </si>
  <si>
    <t>Vereda Santa Martina</t>
  </si>
  <si>
    <t>Junta de Acción Comunal Vereda Santa Martina</t>
  </si>
  <si>
    <t>Vereda Bodegas</t>
  </si>
  <si>
    <t>Junta de Acción Comunal Vereda Bodegas</t>
  </si>
  <si>
    <t>Vereda Estación la Malena</t>
  </si>
  <si>
    <t>Junta de Acción Comunal Vereda Estación la Malena</t>
  </si>
  <si>
    <t>Vereda Estacion Calera</t>
  </si>
  <si>
    <t>Junta de Acción Comunal Vereda Calera</t>
  </si>
  <si>
    <t>Vereda Cabañas</t>
  </si>
  <si>
    <t>Junta de Acción Comunal Vereda Cabañas</t>
  </si>
  <si>
    <t>Corregimiento La Unión</t>
  </si>
  <si>
    <t>Empresas Públicas Municipales de Puerto Nare - Corregimiento La Unión</t>
  </si>
  <si>
    <t>Empresas Públicas Municipales de Puerto Nare - Corregimiento La Mina</t>
  </si>
  <si>
    <t>Corregimiento La Pesca</t>
  </si>
  <si>
    <t>Empresas Públicas Municipales de Puerto Nare - Corregimiento La Pesca</t>
  </si>
  <si>
    <t>Corregimiento La Sierra</t>
  </si>
  <si>
    <t>Empresas Públicas de Puerto Nare - Corregimiento La Sierra</t>
  </si>
  <si>
    <t>Vereda Los Delirios</t>
  </si>
  <si>
    <t>Empresas Públicas Municipales de Puerto Nare - Vereda La Clara</t>
  </si>
  <si>
    <t>Vereda Las Angelitas</t>
  </si>
  <si>
    <t>Vereda Alto del Pollo</t>
  </si>
  <si>
    <t>Asociación de Usuarios del Acueducto de La Vereda Alto del Pollo E.S.P</t>
  </si>
  <si>
    <t>Corregimiento Estación Cocorná</t>
  </si>
  <si>
    <t>Junta Administradora del Acueducto de Estación Cocorná</t>
  </si>
  <si>
    <t>Corremiento Las Mercedes</t>
  </si>
  <si>
    <t>Asociación de Ususarios del Acueducto y Alcantarillado de Las Mercedes Puerto Triunfo</t>
  </si>
  <si>
    <t>Corregimiento Doradal</t>
  </si>
  <si>
    <t>Asociación Junta Administradora del Acueducto y Alcantarillado de Doradal</t>
  </si>
  <si>
    <t>Asociación Junta Administradora del Acueducto La Florida</t>
  </si>
  <si>
    <t>Corregimiento Puerto Perales</t>
  </si>
  <si>
    <t>Asociación de Usuarios del Acueducto y Alcantarillado de Puerto Perales E.S.P</t>
  </si>
  <si>
    <t>Hacienda Napoles (Doradal)</t>
  </si>
  <si>
    <t>INPEC-El Pesebre</t>
  </si>
  <si>
    <t>Vereda Estación Pita</t>
  </si>
  <si>
    <t>Acueducto Estacion Pita</t>
  </si>
  <si>
    <t>Vereda Tres Ranchos</t>
  </si>
  <si>
    <t>Asociación de Usuarios del Acueducto y Alcantarillado  Tres Ranchos (E.S.P.)</t>
  </si>
  <si>
    <t>Corregimiento Santiago Berrio</t>
  </si>
  <si>
    <t>Asociación de Usuarios del Acueducto Corregimiento Santiago Berrio</t>
  </si>
  <si>
    <t>Vereda Napoles</t>
  </si>
  <si>
    <t>Acueducto Parcelas Napoles</t>
  </si>
  <si>
    <t>Vereda San Luis Beltrán</t>
  </si>
  <si>
    <t>Junta de Acción Comunal San Luis Beltran</t>
  </si>
  <si>
    <t xml:space="preserve">Corregimiento San Miguel  El Tigre </t>
  </si>
  <si>
    <t>Junta de Acción Comunal Corregimiento San Miguel "El Tigre"</t>
  </si>
  <si>
    <t>Vereda San Francisco Alto Cimitarra</t>
  </si>
  <si>
    <t>Junta de Acción Comunal San Francisco Alto Cimitarra</t>
  </si>
  <si>
    <t>Vereda Puerto Nuevo</t>
  </si>
  <si>
    <t>Junta de Acción Comunal Puerto Nuevo</t>
  </si>
  <si>
    <t xml:space="preserve">Vereda Boca de Don Juan </t>
  </si>
  <si>
    <t>Junta de Acción Comunal Bocas de Don Juan</t>
  </si>
  <si>
    <t>Junta de Acción Comunal El Porvenir</t>
  </si>
  <si>
    <t>Vereda Kilómetro Cinco</t>
  </si>
  <si>
    <t>Junta de Acción Comunal Kilometro Cinco</t>
  </si>
  <si>
    <t>Vereda Puerto Matilde</t>
  </si>
  <si>
    <t>Junta de Acción Comunal Puerto Matilde</t>
  </si>
  <si>
    <t>Vereda Vietnam</t>
  </si>
  <si>
    <t>Junta de Acción Comunal El Vietnam</t>
  </si>
  <si>
    <t>Vereda San Juan Ite</t>
  </si>
  <si>
    <t>Junta de Acción Comunal San Juan Hacienda Ite</t>
  </si>
  <si>
    <t>Vereda Cienaga de Barbacoas</t>
  </si>
  <si>
    <t>Junta de Accion Comunal Cienaga de Barbacoas</t>
  </si>
  <si>
    <t>Vereda La Congoja</t>
  </si>
  <si>
    <t>Junta de Acción Comunal Vereda La Congoja</t>
  </si>
  <si>
    <t>Vereda No Te Pases</t>
  </si>
  <si>
    <t>Junta de Acción Comunal No Te Pases</t>
  </si>
  <si>
    <t>Vereda Jabonal</t>
  </si>
  <si>
    <t>Junta de Acción Comunal Jabonal</t>
  </si>
  <si>
    <t>Vereda Caño Bodegas</t>
  </si>
  <si>
    <t>Junta de Acción Comunal Caño Bodegas Asociacion de Afrodescendientes</t>
  </si>
  <si>
    <t>Junta de Acción Comunal La Raya</t>
  </si>
  <si>
    <t>Vereda El Bagre</t>
  </si>
  <si>
    <t>Junta de Acción Comunal "El Bagre"</t>
  </si>
  <si>
    <t>Vereda Caño Blanco</t>
  </si>
  <si>
    <t>Junta de Acción Comunal Caño Blanco</t>
  </si>
  <si>
    <t>Vereda La Represa</t>
  </si>
  <si>
    <t xml:space="preserve">Junta de Acción Comunal Vereda La Represa </t>
  </si>
  <si>
    <t xml:space="preserve">Vereda Caño Negro  </t>
  </si>
  <si>
    <t>Junta de Acción Comunal "Caño Negro"</t>
  </si>
  <si>
    <t>Vereda La Esmeralda Barranquillita</t>
  </si>
  <si>
    <t>Junta de Accion Comunal La Esmeralda</t>
  </si>
  <si>
    <t>Corregimiento Margento</t>
  </si>
  <si>
    <t>ACUAMAR-Acueducto Margento</t>
  </si>
  <si>
    <t>Junta de Accion Comunal Risaralda</t>
  </si>
  <si>
    <t>Vereda La Union</t>
  </si>
  <si>
    <t>Junta de Accion Comunal La Union</t>
  </si>
  <si>
    <t>Vereda Las Peñitas</t>
  </si>
  <si>
    <t>Vereda Puerto Triana</t>
  </si>
  <si>
    <t>Junta de Accion Comunal Puerto Triana-Puerto Triana</t>
  </si>
  <si>
    <t>Corregimiento Cacerí</t>
  </si>
  <si>
    <t>Junta de Accion Comunal Caceri</t>
  </si>
  <si>
    <t>Vereda Santa Rosita</t>
  </si>
  <si>
    <t>Junta de Acion Comunal Santa Rosita</t>
  </si>
  <si>
    <t xml:space="preserve"> </t>
  </si>
  <si>
    <t>Junta de Accion Comunal Campo Alegre</t>
  </si>
  <si>
    <t>Vereda Puerto Colombia</t>
  </si>
  <si>
    <t>Junta de Accion Comunal Puerto Colombia</t>
  </si>
  <si>
    <t>Junta de Acción Administradora Asovirgen-Acueducto La Virgen</t>
  </si>
  <si>
    <t>Corregimiento Palanca</t>
  </si>
  <si>
    <t>Junta de Acción Comunal Corregimiento Palanca</t>
  </si>
  <si>
    <t>Corregimiento La ilusión</t>
  </si>
  <si>
    <t>Junta de Acción Comunal Corregimiento La Ilusión</t>
  </si>
  <si>
    <t>Junta de Accion Comunal Santo Domingo</t>
  </si>
  <si>
    <t>Vereda Villa del Socorro</t>
  </si>
  <si>
    <t>Junta de Accion Comunal Villa del Socorro</t>
  </si>
  <si>
    <t>Corregimiento El Pando</t>
  </si>
  <si>
    <t>Junta de Accion Comunal  Corregimiento El Pando</t>
  </si>
  <si>
    <t>Cabildo Indigena Zenu</t>
  </si>
  <si>
    <t>Corregimiento Palomar</t>
  </si>
  <si>
    <t>Junta de Accion Comunal Palomar</t>
  </si>
  <si>
    <t>Barrio Chino</t>
  </si>
  <si>
    <t>Junta de Accion Comunal Vereda Barrio Chino</t>
  </si>
  <si>
    <t>Cooperativa Yarumal de Aguas</t>
  </si>
  <si>
    <t>Vereda El Morro</t>
  </si>
  <si>
    <t>Asociación de Usuarios de Acueducto del Acueducto  Vereda El Morro</t>
  </si>
  <si>
    <t>Vereda Pueblito de los Sánchez</t>
  </si>
  <si>
    <t>Asociación de Usuarios de Acueducto del Acueducto y Alcantarillado de la Vereda Pueblito de los Sanchez</t>
  </si>
  <si>
    <t>Vereda La Ferreria</t>
  </si>
  <si>
    <t>Vereda Maní Parte Baja</t>
  </si>
  <si>
    <t>AUAMCAM-E.S.P-Vereda La Mani Parte Baja</t>
  </si>
  <si>
    <t>Vereda Deposito La Virgen</t>
  </si>
  <si>
    <t>AUAMCAM-E.S.P-Deposito La Virgen</t>
  </si>
  <si>
    <t>AUAMCAM-E.S.P- Vereda El Morro</t>
  </si>
  <si>
    <t>Centro Poblado Camilo C</t>
  </si>
  <si>
    <t>Asociación de Suscriptores Acueducto de Camilo C - ASOCAMILO</t>
  </si>
  <si>
    <t>Vereda Sector El Mangal</t>
  </si>
  <si>
    <t>Asociación de Usuarios del Acueducto de Travesias Sector Carretera El Mangal</t>
  </si>
  <si>
    <t>Vereda Caseta Comunal</t>
  </si>
  <si>
    <t>Asociación de Usuarios del Acueducto de Vereda Travesías Caseta Comunal</t>
  </si>
  <si>
    <t>Vereda Parte Baja</t>
  </si>
  <si>
    <t>Vereda Malabrigo Parte Alta Fuente Malabriga</t>
  </si>
  <si>
    <t>Asociación de Usuarios del Acueducto  de la vereda Malabrigo parte Alta - Fuente La Malabriga</t>
  </si>
  <si>
    <t>VeredaMalabrigo Parte Alta Fuente La Chinca</t>
  </si>
  <si>
    <t xml:space="preserve">Asociación de Usuarios del Acueducto  de la vereda Malabrigo parte Alta - Fuente La Chinca </t>
  </si>
  <si>
    <t>Vereda Malabrigo Parte Baja</t>
  </si>
  <si>
    <t>Asociación de Usuarios del Acueducto  de la vereda Malabrigo parte Baja</t>
  </si>
  <si>
    <t>Vereda Yarumal</t>
  </si>
  <si>
    <t>Vereda Pueblito San Jose Sector Taborda</t>
  </si>
  <si>
    <t>Vereda Pueblito San Jose Sector La Escuela</t>
  </si>
  <si>
    <t>Vereda Mani de las Casas</t>
  </si>
  <si>
    <t>Vereda Piedecuesta</t>
  </si>
  <si>
    <t>Asociación de Usuarios del Acueducto Calle Nueva-Piedecuesta</t>
  </si>
  <si>
    <t>Vereda Maní Parte Alta</t>
  </si>
  <si>
    <t>AUAMCAM-E.S.P- Vereda La Mani Parte Alta</t>
  </si>
  <si>
    <t>Vereda Nicanor La Paja</t>
  </si>
  <si>
    <t>Vereda Nicanor Sabaletica</t>
  </si>
  <si>
    <t>Vereda Los Aljibes</t>
  </si>
  <si>
    <t>Vereda Paso Nivel</t>
  </si>
  <si>
    <t>Centro Poblado Minas</t>
  </si>
  <si>
    <t>Corregimiento La Clarita</t>
  </si>
  <si>
    <t>Centro Poblado El Cedro</t>
  </si>
  <si>
    <t>Sector Naranjitos</t>
  </si>
  <si>
    <t>Asociación de Usuarios del Acueducto Naranjitos</t>
  </si>
  <si>
    <t>Barrio Los Alvarez</t>
  </si>
  <si>
    <t>Corregimiento  El Cedro Sector Las Faldas</t>
  </si>
  <si>
    <t>Centro Poblado Camilo C Sector El Trincho</t>
  </si>
  <si>
    <t>Asociación de Usuarios Acueducto La Comunidad</t>
  </si>
  <si>
    <t xml:space="preserve">Junta Administradora de Acueducto Corregimiento Buenos Aires </t>
  </si>
  <si>
    <t>Corregimiento Santa Rita</t>
  </si>
  <si>
    <t>Junta de Acción Comunal Santa Rita-Corregimiento Santa Rita</t>
  </si>
  <si>
    <t>Corregimiento Santa Inés</t>
  </si>
  <si>
    <t>Acueducto Santa Ines -Corregimiento Santa Inés</t>
  </si>
  <si>
    <t>Corregimiento San Jose</t>
  </si>
  <si>
    <t>Asociación de Usuarios del Acueducto Veredal Corregimiento San Jose Andes E.S.P.</t>
  </si>
  <si>
    <t>Vereda La Lejía</t>
  </si>
  <si>
    <t>Asociación de Usuarios del Acueducto Veredal La Lejia Taparto Andes E.S.P</t>
  </si>
  <si>
    <t>Vereda La Cedrona</t>
  </si>
  <si>
    <t>Junta de Acción Comunal La Cedrona</t>
  </si>
  <si>
    <t>Vereda La Aguada Sector La Pava</t>
  </si>
  <si>
    <t>Vereda La Solita</t>
  </si>
  <si>
    <t>Junta de Acción Comunal La Solita</t>
  </si>
  <si>
    <t>Corregimiento San Bartolo</t>
  </si>
  <si>
    <t>Asociación de Usuarios del Acueducto Multiveredal del Municipio de Andes - Corregimiento San Bartolo</t>
  </si>
  <si>
    <t>Empresa de Servicios Públicos de Andes S.A E.S.P - Sistema Maria Auxiliadora</t>
  </si>
  <si>
    <t>Vereda San Hernando</t>
  </si>
  <si>
    <t>Asociación de Usuarios del Acueducto Multiveredal del Municipio de Andes - Vereda San Hernando</t>
  </si>
  <si>
    <t>Vereda La Yolanda</t>
  </si>
  <si>
    <t>Asociación de Usuarios del Acueducto Veredal La Yolanda-La Yolanda</t>
  </si>
  <si>
    <t>Vereda El Crucero</t>
  </si>
  <si>
    <t>Acueducto El Cedrón y El Crucero-El Crucero</t>
  </si>
  <si>
    <t>Vereda El Cedrón</t>
  </si>
  <si>
    <t>Acueducto El Cedrón y El Crucero-El Cedrón</t>
  </si>
  <si>
    <t>Acueducto El Empedrado Vereda Risaralda</t>
  </si>
  <si>
    <t>Acueducto La Primavera Sector El Barrio Corregimiento de Buenos Aires</t>
  </si>
  <si>
    <t>Vereda  San Carlos</t>
  </si>
  <si>
    <t>Asociación de Usuarios del Acueducto Multiveredal del Municipio de Andes - Vereda San Carlos</t>
  </si>
  <si>
    <t>Junta Administradora de Acueducto del Municipio de Andes - Vereda alto del Rayo La Solita</t>
  </si>
  <si>
    <t>Vereda El Tapao</t>
  </si>
  <si>
    <t>Asociación de Usuarios del Acueducto Multiveredal del Municipio de Andes - Vereda El Tapao</t>
  </si>
  <si>
    <t>Sector El Empedrado</t>
  </si>
  <si>
    <t>Asociación de Usuarios del Acueducto Multiveredal del Municipio de Andes - Sector El Empedrado</t>
  </si>
  <si>
    <t>Sector Santa Elena</t>
  </si>
  <si>
    <t>Junta de Acción Comunal Santa Rita-El Pencal Sector Santa Elena</t>
  </si>
  <si>
    <t>Vereda La Quinta</t>
  </si>
  <si>
    <t>Junta de Acción Comunal Santa Rita-La Quinta</t>
  </si>
  <si>
    <t>Vereda Contrafuerte</t>
  </si>
  <si>
    <t>Fundación Berta Martínez-La Aguada</t>
  </si>
  <si>
    <t>Vereda Alto del Rayo</t>
  </si>
  <si>
    <t>Asociación de Usuarios del Acueducto Multiveredal del Municipio de Andes - Vereda Alto del Rayo</t>
  </si>
  <si>
    <t>Vereda El Cabrero</t>
  </si>
  <si>
    <t xml:space="preserve">Asociación de Usuarios del Acueducto Multiveredal del Municipio de Andes - Vereda El Cabrero </t>
  </si>
  <si>
    <t>Sector La Ciudad</t>
  </si>
  <si>
    <t>Acueducto La Ciudad, El Morro y El Palmar- Sector La Ciudad</t>
  </si>
  <si>
    <t>Vereda Piamonte</t>
  </si>
  <si>
    <t>Asociación de Usuarios del Acueducto Multiveredal del Municipio de Andes - Vereda Piamonte</t>
  </si>
  <si>
    <t>Asociación de Usuarios del Acueducto Multiveredal del Municipio de Andes - Vereda Risaralda</t>
  </si>
  <si>
    <t>Sector la Manchurria</t>
  </si>
  <si>
    <t xml:space="preserve">Asociación de Usuarios del Acueducto Multiveredal del Municipio de Andes - Sector La Manchurria </t>
  </si>
  <si>
    <t>Vereda la Comuna</t>
  </si>
  <si>
    <t>Asociación de Usuarios del Acueducto Multiveredal del Municipio de Andes - Vereda La Comuna</t>
  </si>
  <si>
    <t>Vereda La Camelia</t>
  </si>
  <si>
    <t>Asociación de Usuarios del Acueducto Multiveredal del Municipio de Andes - Vereda La Camelia</t>
  </si>
  <si>
    <t>Vereda  la Alsacia</t>
  </si>
  <si>
    <t xml:space="preserve">Asociación de Usuarios del Acueducto  La Alsacia </t>
  </si>
  <si>
    <t>Asociación de Usuarios del Acueducto Multiveredal del Municipio de Andes -Palestina</t>
  </si>
  <si>
    <t>Vereda Alto Cañaveral Chorros Parte Alta</t>
  </si>
  <si>
    <t>Asociación de Usuarios del Acueducto Multiveredal del Municipio de Andes -Vereda Alto Cañaveral Chorros Parte Alto</t>
  </si>
  <si>
    <t>Vereda Alto Cañaveral La Negra</t>
  </si>
  <si>
    <t>Asociación de Usuarios del Acueducto Multiveredal del Municipio de Andes - Vereda Alto Cañaveral La Negra</t>
  </si>
  <si>
    <t>Asociación de Usuarios del Acueducto Multiveredal del Municipio de Andes -Vereda Alto Cañaveral Chorros Parte Bajo</t>
  </si>
  <si>
    <t>Vereda  El Rojo</t>
  </si>
  <si>
    <t>Asociación de Usuarios del Acueducto Multiveredal del Municipio de Andes - Vereda El Rojo</t>
  </si>
  <si>
    <t>Vereda  Bajo Cañaveral</t>
  </si>
  <si>
    <t xml:space="preserve">Asociación de Usuarios del Acueducto Multiveredal del Municipio de Andes - Vereda Bajo Cañaveral </t>
  </si>
  <si>
    <t>Vereda Monte Blanco</t>
  </si>
  <si>
    <t xml:space="preserve">Asociación de Usuarios del Acueducto Multiveredal del Municipio de Andes - Vereda Monte Blanc </t>
  </si>
  <si>
    <t>Corregimiento de Taparto</t>
  </si>
  <si>
    <t>Asociación de Usuarios del Acueducto del Corregimiento de Taparto (ADUACOT)</t>
  </si>
  <si>
    <t>Vereda el Golgota</t>
  </si>
  <si>
    <t>Asociación de Usuarios del Acueducto Multiveredal del Municipio de Andes - Vereda el Golgota</t>
  </si>
  <si>
    <t>Empresa de Aseo Caceres S.A ESP-Corregimiento El Jardin</t>
  </si>
  <si>
    <t>Empresa de Aseo Caceres S.A ESP-Corregimiento Puerto Belgica</t>
  </si>
  <si>
    <t>Corregimiento Manizalez</t>
  </si>
  <si>
    <t>Junta de Acción Comunal Manizalez</t>
  </si>
  <si>
    <t>Vereda Rio Man</t>
  </si>
  <si>
    <t xml:space="preserve">Junta de Acción Comunal Rio Man </t>
  </si>
  <si>
    <t>Vereda Nicaragua</t>
  </si>
  <si>
    <t xml:space="preserve">Junta de Acción Comunal Nicaragua </t>
  </si>
  <si>
    <t>Corregimiento La Estacion</t>
  </si>
  <si>
    <t>Dirección de Servicios Públicos Angelópolis - Corregimiento La Estacion</t>
  </si>
  <si>
    <t xml:space="preserve">Vereda Cienaguita  </t>
  </si>
  <si>
    <t>Junta de Accion Comunal Vereda Cieneguita</t>
  </si>
  <si>
    <t>Vereda El  Barro</t>
  </si>
  <si>
    <t>Asociación de Usuarios del Acueducto Multiveredal Angelopolis, Amaga y Titiribi - El Barro</t>
  </si>
  <si>
    <t>Vereda El Nudillo</t>
  </si>
  <si>
    <t>Asociación de Usuarios del Acueducto Multiveredal Angelopolis, Amaga y Titiribi - El Nudillo</t>
  </si>
  <si>
    <t xml:space="preserve">Junta de Usuarios Acueducto  Santa Bárbara </t>
  </si>
  <si>
    <t>Vereda Barrio Nuevo</t>
  </si>
  <si>
    <t>Asociación de Usuarios del Acueducto Multiveredal Angelopolis, Amaga y Titiribi - Barrio Nuevo</t>
  </si>
  <si>
    <t>Vereda La Miranda</t>
  </si>
  <si>
    <t>Asociación de Usuarios del Acueducto Multiveredal Angelopolis, Amaga y Titiribi - La Miranda</t>
  </si>
  <si>
    <t>Asociación de Usuarios del Acueducto Multiveredal Angelopolis, Amaga y Titiribi - Cienaguita</t>
  </si>
  <si>
    <t>Asociación de Usuarios del Acueducto Multiveredal Angelopolis, Amaga y Titiribi - San Isidro</t>
  </si>
  <si>
    <t>Junta Administradora de Acueducto El Nudillo</t>
  </si>
  <si>
    <t>Asociación de Suscriptores o Usuarios del Acueducto  El Barro</t>
  </si>
  <si>
    <t xml:space="preserve">Vereda Bellavista </t>
  </si>
  <si>
    <t>Asociación de Usuarios del Acueducto Bellavista, Los Aguacates y Santa Ana-Bellavista</t>
  </si>
  <si>
    <t>Asociación de Usuarios del Acueducto Bellavista, Los Aguacates y Santa Ana-Santa Ana</t>
  </si>
  <si>
    <t>Vereda Los Aguacates</t>
  </si>
  <si>
    <t>Asociación de Usuarios del Acueducto Bellavista, Los Aguacates y Santa Ana-Los Aguacates</t>
  </si>
  <si>
    <t>Vereda Pedral Abajo</t>
  </si>
  <si>
    <t>Asociación de Usuarios del Acueducto Multiveredal Betania - Hispania E.S.P-Pedral Abajo</t>
  </si>
  <si>
    <t>Vereda Las Travesias</t>
  </si>
  <si>
    <t>Asociación de Usuarios del Acueducto Multiveredal Betania - Hispania E.S.P-Las Travesias</t>
  </si>
  <si>
    <t>Asociación de Usuarios del Acueducto Multiveredal Betania - Hispania E.S.P-Las Mercedes</t>
  </si>
  <si>
    <t>Asociación de Usuarios del Acueducto Multiveredal Betania - Hispania E.S.P-Las Animas</t>
  </si>
  <si>
    <t>Asociación de Usuarios del Acueducto Multiveredal Betania - Hispania E.S.P-La Julia</t>
  </si>
  <si>
    <t>Vereda Palenque</t>
  </si>
  <si>
    <t>Vereda Media Luna</t>
  </si>
  <si>
    <t>Asociación de Usuarios del Acueducto Multiveredal Betania - Hispania E.S.P-Media Luna</t>
  </si>
  <si>
    <t>Vereda La Hermosa</t>
  </si>
  <si>
    <t>Asociación de Usuarios del Acueducto Multiveredal Betania - Hispania E.S.P-La Hermosa</t>
  </si>
  <si>
    <t>Vereda Alto del Oso</t>
  </si>
  <si>
    <t>Asociación de Usuarios del Acueducto Multiveredal Betania - Hispania E.S.P-Alto del Oso</t>
  </si>
  <si>
    <t>Asociación de Usuarios del Acueducto de Altamira Municipio de Betulia - El Tostado</t>
  </si>
  <si>
    <t>Vereda  El Cuchillon</t>
  </si>
  <si>
    <t>Junta de Acción Comunal El Cuchillon</t>
  </si>
  <si>
    <t>Corregimiento Cangrejo</t>
  </si>
  <si>
    <t>Junta de Accion Comunal Corregimiento de Cangrejo</t>
  </si>
  <si>
    <t>Vereda El Piñonal</t>
  </si>
  <si>
    <t>Junta de Acción Comunal Piñonal</t>
  </si>
  <si>
    <t>Vereda Las Ánimas</t>
  </si>
  <si>
    <t>Junta de Acción Comunal Las Animas</t>
  </si>
  <si>
    <t>Asociacion de Usuarios del Acueducto Multiveredal Las Iglesias Betulia E.S.P-Santa Rita</t>
  </si>
  <si>
    <t>Vereda El Cuchuco</t>
  </si>
  <si>
    <t>Junta de Accion Comunal El Cuchuco</t>
  </si>
  <si>
    <t>Vereda La Manguita</t>
  </si>
  <si>
    <t>Asociación de Usuarios El yerbal - Paraje La Manguita</t>
  </si>
  <si>
    <t>Junta de Accion Comunal San Antonio</t>
  </si>
  <si>
    <t>Vereda Los Animes</t>
  </si>
  <si>
    <t>Asociación de Usuarios Los Animes</t>
  </si>
  <si>
    <t>Junta de Accion Comunal El Guadual</t>
  </si>
  <si>
    <t>Vereda Pueblo Duro</t>
  </si>
  <si>
    <t>Asociación de Usuarios El Yerbal -Pueblo Duro</t>
  </si>
  <si>
    <t>Vereda  El León</t>
  </si>
  <si>
    <t>Junta de Acción Comunal El Leon</t>
  </si>
  <si>
    <t>Vereda El Indio</t>
  </si>
  <si>
    <t>Asociación de Usuarios del Acueducto Multiveredal "Luciano Restrepo" -  El Indio y Pinguro</t>
  </si>
  <si>
    <t>Vereda La Guaimalita</t>
  </si>
  <si>
    <t>Asociación de Usuarios del Acueducto Multiveredal "Luciano Restrepo"-  La Guamalita</t>
  </si>
  <si>
    <t>Corregimiento Luciano Restrepo</t>
  </si>
  <si>
    <t>Asociación de Usuarios del Acueducto Multiveredal "Luciano Restrepo"-Corregimiento Luciano Restrepo</t>
  </si>
  <si>
    <t>Vereda La Vargas</t>
  </si>
  <si>
    <t>Junta de Accion Comunal La Vargas</t>
  </si>
  <si>
    <t xml:space="preserve">Vereda La Asomadera </t>
  </si>
  <si>
    <t xml:space="preserve">Junta de Acción Comunal La Asomadera </t>
  </si>
  <si>
    <t>Vereda Altamira</t>
  </si>
  <si>
    <t>Asociación de Usuarios del Acueducto de Altamira Municipio de Betulia-Altamira</t>
  </si>
  <si>
    <t>Vereda  La Ceibala</t>
  </si>
  <si>
    <t>Asociación de Usuarios El Yerbal - La Ceibala</t>
  </si>
  <si>
    <t>Vereda  La Iracala</t>
  </si>
  <si>
    <t>Asociación de Usuarios El Yerbal -La Iracala</t>
  </si>
  <si>
    <t>Vereda  Quebrada Arriba</t>
  </si>
  <si>
    <t>Junta de Acción Comunal Quebrada Arriba</t>
  </si>
  <si>
    <t>Vereda La Cibeles</t>
  </si>
  <si>
    <t>Asociacion de Usuarios del Acueducto Multiveredal Las Iglesias Betulia E.S.P.-La Cibeles</t>
  </si>
  <si>
    <t>Vereda La Urraeña</t>
  </si>
  <si>
    <t>Junta de Accion Comunal La Urraeña</t>
  </si>
  <si>
    <t>Vereda Purco</t>
  </si>
  <si>
    <t>Asociación de Usuarios del Acueducto de Altamira-Purco</t>
  </si>
  <si>
    <t>Vereda El Yerbal</t>
  </si>
  <si>
    <t>Junta Administradora Acueducto Multiveredal Guayabal-El Yerbal</t>
  </si>
  <si>
    <t>Vereda La Ciénaga</t>
  </si>
  <si>
    <t>Asociación de Usuarios del Acueducto de Altamira Municipio de Betulia - La Cienaga</t>
  </si>
  <si>
    <t>Junta de Accion Comunal La Quiebra</t>
  </si>
  <si>
    <t>Corregimeinto Puerto Lopez</t>
  </si>
  <si>
    <t>Junta de Accion Comunal Corregimiento Puerto López</t>
  </si>
  <si>
    <t>Corregiemiento Puerto Claver</t>
  </si>
  <si>
    <t>ASUAPUCLA-Corregimiento Puerto Claver</t>
  </si>
  <si>
    <t>Junta de Accion Comunal Corregimento Las Flores</t>
  </si>
  <si>
    <t>Corregimento de Colorado</t>
  </si>
  <si>
    <t>Junta de Accion Comunal Corregimento de Colorado</t>
  </si>
  <si>
    <t>Corregimento Puerto de los Indios</t>
  </si>
  <si>
    <t>Junta de Accion Comunal Corregimento Puerto de los Indios</t>
  </si>
  <si>
    <t>Corregimiento  La Caucana Rural</t>
  </si>
  <si>
    <t>Administracion Municipal Taraza-La Caucana</t>
  </si>
  <si>
    <t>Junta Accion Comunal el Oasis Buenos Aires</t>
  </si>
  <si>
    <t>Vereda El Tres</t>
  </si>
  <si>
    <t>Junta de Accion Comunal El Tres</t>
  </si>
  <si>
    <t>Corregimiento Barro Blanco</t>
  </si>
  <si>
    <t>Junta Accion Comunal Montenegro-Barro Blanco</t>
  </si>
  <si>
    <t>Corregimiento El Guimaro</t>
  </si>
  <si>
    <t>Junta de Accion Comunal El Guaimaro</t>
  </si>
  <si>
    <t>Corregimiento El Doce</t>
  </si>
  <si>
    <t>Junta de Accion Comunal   El Doce</t>
  </si>
  <si>
    <t>Corregimiento Puerto Antioquia</t>
  </si>
  <si>
    <t>Junta de Accion Comunal Puerto Antioquia</t>
  </si>
  <si>
    <t>Vereda La Pipiola</t>
  </si>
  <si>
    <t>Junta Accion Comunal La Pipola</t>
  </si>
  <si>
    <t>Vereda Pueblo Nuevo</t>
  </si>
  <si>
    <t>Junta de Acueducto Pueblo Nuevo</t>
  </si>
  <si>
    <t>Vereda El Paramo</t>
  </si>
  <si>
    <t>Junta de Acción Comunal El Paramo</t>
  </si>
  <si>
    <t>Vereda Pablo Muera</t>
  </si>
  <si>
    <t>Resguardo Indigena</t>
  </si>
  <si>
    <t>Junta de Acción Comunal La Arenosa</t>
  </si>
  <si>
    <t>Vereda La Clarita</t>
  </si>
  <si>
    <t>Junta de Acción Comunal La Clarita</t>
  </si>
  <si>
    <t>Corregimiento El Pato</t>
  </si>
  <si>
    <t>ASOAGUA La Fortuna</t>
  </si>
  <si>
    <t>Vereda La Pajuila</t>
  </si>
  <si>
    <t>Junta de Acción Comunal La Pajuila</t>
  </si>
  <si>
    <t>Verdea Chilona Abajo</t>
  </si>
  <si>
    <t>Junta de Accion Comunal Chichona Abajo</t>
  </si>
  <si>
    <t>Vereda La Quebradona</t>
  </si>
  <si>
    <t>Junta Administradora de Acueducto Quebradona Número Uno</t>
  </si>
  <si>
    <t>Vereda Vegas de Segovia</t>
  </si>
  <si>
    <t>ACUAVEGA-Vegas de Segovia</t>
  </si>
  <si>
    <t>Junta de Acción Comunal La Porquera</t>
  </si>
  <si>
    <t>Vereda El Saltillo</t>
  </si>
  <si>
    <t>ASOA-Vereda El Saltillo</t>
  </si>
  <si>
    <t>Junta de Acción Comunal El Retiro</t>
  </si>
  <si>
    <t>Junta de Acción Comunal La Estrella</t>
  </si>
  <si>
    <t>Vereda La Muñoz</t>
  </si>
  <si>
    <t>Asociación de Usuarios de Acueducto  La Muñoz</t>
  </si>
  <si>
    <t>Vereda La Culebra</t>
  </si>
  <si>
    <t>Asociación de Usuarios de Acueducto Pajarito-La Culebra</t>
  </si>
  <si>
    <t>Asociación de Usuarios de Acueducto Santa Rita</t>
  </si>
  <si>
    <t>Vereda La Trinidad</t>
  </si>
  <si>
    <t>Asociación de Usuarios de Acueducto La Trinidad</t>
  </si>
  <si>
    <t>VeredaLa Chiquita</t>
  </si>
  <si>
    <t>Asociación de Usuarios de Acueducto Manzanillo-La Chuiquita</t>
  </si>
  <si>
    <t>Asociación de Usuarios de Acueducto Los Pantanos</t>
  </si>
  <si>
    <t>Asociación de Usuarios de Acueducto Batea Seca</t>
  </si>
  <si>
    <t>VeredaMatablanco</t>
  </si>
  <si>
    <t>Asociación de Usuarios de Acueducto Altorhin Matablanco</t>
  </si>
  <si>
    <t>Vereda Santa Anita</t>
  </si>
  <si>
    <t>Asociación de Usuarios de Acueducto Quiebra Arriba-Santa Anita</t>
  </si>
  <si>
    <t>Vereda Los Pinos</t>
  </si>
  <si>
    <t>Asociación de Usuarios de Acueducto  Los Pinos</t>
  </si>
  <si>
    <t>Vereda Santa Ana Los Chochos</t>
  </si>
  <si>
    <t>Acueducto Multiveredal Santa Ana Los Chochos</t>
  </si>
  <si>
    <t>Vereda Altorhin</t>
  </si>
  <si>
    <t xml:space="preserve">Asociación de Usuarios de Acueducto Altorhin </t>
  </si>
  <si>
    <t>Vereda El Olivo</t>
  </si>
  <si>
    <t>Asociación de Usuarios de Acueducto Canoas-Maldonado-El Olivo-Montañita</t>
  </si>
  <si>
    <t>Vereda Quiebra Arriba</t>
  </si>
  <si>
    <t xml:space="preserve">Asociación de Usuarios de Acueducto Quiebra Arriba </t>
  </si>
  <si>
    <t>Vereda San Alejandro</t>
  </si>
  <si>
    <t>Asociación de Usuarios de Acueducto San Alejandro</t>
  </si>
  <si>
    <t>Vereda Los Cañaveral es</t>
  </si>
  <si>
    <t>Asociación de Usuarios de Acueducto Los Cañaverales</t>
  </si>
  <si>
    <t>Asociación de Usuarios de Acueducto El Socorro</t>
  </si>
  <si>
    <t>Vereda El Oriente</t>
  </si>
  <si>
    <t>Asociación de Usuarios de Acueducto El Oriente</t>
  </si>
  <si>
    <t>Vereda Llanos de Cuiva</t>
  </si>
  <si>
    <t>Asociación de Usuarios de Acueducto Llanos de Cuiva</t>
  </si>
  <si>
    <t>Vereda Guajira Abajo</t>
  </si>
  <si>
    <t>Asociación de Usuarios de Acueducto Guajira Abajo</t>
  </si>
  <si>
    <t>Vereda Guajira Arriba</t>
  </si>
  <si>
    <t>Asociación de Usuarios de Acueducto Guajira Arriba</t>
  </si>
  <si>
    <t>Asociación de Usuarios de Acueducto La Milagrosa</t>
  </si>
  <si>
    <t>Vereda La Quiebrita</t>
  </si>
  <si>
    <t>Asociación de Usuarios de Acueducto La Quiebrita</t>
  </si>
  <si>
    <t>Vereda Pajarito Arriba</t>
  </si>
  <si>
    <t xml:space="preserve">Asociación de Usuarios de Acueducto Veredal de La Quinta </t>
  </si>
  <si>
    <t>Corregimiento  Barro Blanco</t>
  </si>
  <si>
    <t>Junta Administradora de Acueducto Corregimiento de Barro Blanco</t>
  </si>
  <si>
    <t>Corregimiento  Alegrías</t>
  </si>
  <si>
    <t>Asociación de Usuarios del Acueducto Multiveredal del Corregimiento de Alegrías (AMCA)</t>
  </si>
  <si>
    <t>Vereda La Frisolera</t>
  </si>
  <si>
    <t>Junta de Acción Comunal Vereda La Frisolera</t>
  </si>
  <si>
    <t>Corregimiento  Sucre</t>
  </si>
  <si>
    <t>Junta Administradora de Acueducto Corregimiento de Sucre</t>
  </si>
  <si>
    <t>Vereda Aguadita Grande</t>
  </si>
  <si>
    <t>Junta de Acción Comunal Vereda La Aguadita Grande</t>
  </si>
  <si>
    <t>Vereda Aguadita Chiquita</t>
  </si>
  <si>
    <t>Junta de Acción Comunal Vereda La Aguadita Chiquita</t>
  </si>
  <si>
    <t>Junta de Acccion Comunal  Vereda San Antonio</t>
  </si>
  <si>
    <t>Vereda Chirapoto</t>
  </si>
  <si>
    <t>Junta de Acccion Comunal Vereda Chirapoto</t>
  </si>
  <si>
    <t>Junta de Acción Comunal Vereda La Cascada</t>
  </si>
  <si>
    <t>Vereda La Sirena</t>
  </si>
  <si>
    <t>Junta de Acción Comunal Vereda La Sirena</t>
  </si>
  <si>
    <t>Vereda Yarumalito</t>
  </si>
  <si>
    <t>Junta de Acción Comunal Vereda Yarumalito</t>
  </si>
  <si>
    <t>Junta de Acción Comunal Vereda San Pablo</t>
  </si>
  <si>
    <t>Sector Corozal</t>
  </si>
  <si>
    <t>Junta Administradora de Acueducto Vereda Cañas Sector Corozal</t>
  </si>
  <si>
    <t>Junta Administradora de Acueducto Vereda Palmichal</t>
  </si>
  <si>
    <t>Vereda El Balso</t>
  </si>
  <si>
    <t>Junta Administradora de Acueducto Vereda El Balso</t>
  </si>
  <si>
    <t>Vereda Peladeros</t>
  </si>
  <si>
    <t>Junta Administradora de Acueducto Vereda Peladeros</t>
  </si>
  <si>
    <t>Vereda El Tostado</t>
  </si>
  <si>
    <t>Planta de tratamiento</t>
  </si>
  <si>
    <t>Asociación de Usuarios del Acueducto Multiveredal Betania - Hispania E.S.P-Planta de tratamiento</t>
  </si>
  <si>
    <t>Asociacion de Usuarios de Acueducto Vereda Santa Rita (ASOSANI)</t>
  </si>
  <si>
    <t>Asociacion del Acueducto Vereda La Aguada-Sector La Pava</t>
  </si>
  <si>
    <t>Asociacion del Acueducto de Santa Ines Vereda San Antonio</t>
  </si>
  <si>
    <t>Asociacion del Acueducto Vereda La Aguada-El Molino</t>
  </si>
  <si>
    <t>Asociacion de Usuarios del Acueducto Multiveredal del Municipio de Andes - Sector El Empedrado</t>
  </si>
  <si>
    <t>Asociacion de Usuarios del Acueducto Multiveredal de Jardin-Contrafuerte</t>
  </si>
  <si>
    <t>Vereda Alto Cañaveral Chorros Parte Baja</t>
  </si>
  <si>
    <t>Vereda Peñas Azules</t>
  </si>
  <si>
    <t xml:space="preserve">Acueducto Veredal Peñas Azules </t>
  </si>
  <si>
    <t xml:space="preserve">Vereda Santa Elena </t>
  </si>
  <si>
    <t>Acueducto Vereda Santa Elena</t>
  </si>
  <si>
    <t>Vereda La Melliza</t>
  </si>
  <si>
    <t>Asociación de Usuarios del Acueducto Veredal La Melliza</t>
  </si>
  <si>
    <t>Vereda  Monte Verde</t>
  </si>
  <si>
    <t>Asociación de Usuarios del Acueducto Veredal  Monte Verde</t>
  </si>
  <si>
    <t>Asociacion de Usuarios del Acueducto de La Ferreria</t>
  </si>
  <si>
    <t>Asociacion de Usuarios del Acueducto y Alcantarillado de La Vereda El Cedro-Parte Baja</t>
  </si>
  <si>
    <t>Asociacion de Usuarios del Acueducto Vereda Yarumal</t>
  </si>
  <si>
    <t>Asociacion de Usuarios del Acueducto Vereda Pueblito de San Jose- Sector Taborda</t>
  </si>
  <si>
    <t xml:space="preserve">Asociacion de Usuarios del Acueducto Vereda Pueblito de San Jose- Sector La Escuela </t>
  </si>
  <si>
    <t>Asociacion de Usuarios del Acueducto de La Vereda Mani de Las Casas</t>
  </si>
  <si>
    <t>Asociacion de Usuarios del Acueducto Vereda Guaimaral</t>
  </si>
  <si>
    <t>Asociacion de Usuarios del Acueducto de Piedecuesta</t>
  </si>
  <si>
    <t>Asociacion de Usuarios del Acueducto de Alto de Nicanor-Vereda Nicanor La Paja</t>
  </si>
  <si>
    <t>Asociacion de Usuarios del Acueducto de Alto de Nicanor-Vereda Nicanor La Sabaletica</t>
  </si>
  <si>
    <t>Asociacion de Usuarios del Acueducto de Los Aljibes-Pueblito Sánchez</t>
  </si>
  <si>
    <t>Asociacion de Usuarios del Acueducto de Pasonivel</t>
  </si>
  <si>
    <t>Asociacion de Usuarios del Acueducto del Corregimiento Minas</t>
  </si>
  <si>
    <t>Asociación de Usuarios de Acueducto del Centro Poblado La Clarita</t>
  </si>
  <si>
    <t>Junta Administradora del Acueducto la Paniagua</t>
  </si>
  <si>
    <t>Junta Administradora del Acueducto la Florida</t>
  </si>
  <si>
    <t>Asociacion de Usuarios del Acueducto Multiveredal de los Municipios Angelopolis Amaga y Tititibi-Centro Poblado El Cedro</t>
  </si>
  <si>
    <t>Asociacion de Usuarios del Acueducto la Esperanza</t>
  </si>
  <si>
    <t>Vereda Buena Vista - Sector la Caseta</t>
  </si>
  <si>
    <t>Asociacion de Usuarios del Acueducto AVBTA - Caseta</t>
  </si>
  <si>
    <t>Asociacion de Usuarios del Acueducto AVBTA - Escuela</t>
  </si>
  <si>
    <t>Vereda Alto De Los Jaramillos</t>
  </si>
  <si>
    <t>Acueducto Altos de Los Jaramillos</t>
  </si>
  <si>
    <t>Asociación de Usuarios del Acueducto Veredal Samaria</t>
  </si>
  <si>
    <t>Corregimiento Alfonso Lopez</t>
  </si>
  <si>
    <t>Asociación de Usuarios del Acueducto y Alcantarillado Corregimiento Alfonso Lopez "ASUAAL E.S.P" - Planta de Tratamiento Parte Alta</t>
  </si>
  <si>
    <t>Asociación de Usuarios del Acueducto y Alcantarillado Corregimiento Alfonso Lopez "ASUAAL E.S.P" - Planta de Tratamiento Parte Baja</t>
  </si>
  <si>
    <t>Vereda  Bolívar Arriba</t>
  </si>
  <si>
    <t>Asociacion Usuarios Acueducto Multiveredal Bolivar Arriba (AMBA)</t>
  </si>
  <si>
    <t>Vereda Punta Brava</t>
  </si>
  <si>
    <t>Acueducto Multiveredal La Marina</t>
  </si>
  <si>
    <t>Acueducto Veredal Punta Brava</t>
  </si>
  <si>
    <t>Vereda  Lindaja</t>
  </si>
  <si>
    <t>Acueducto Junta de Acción Comunal La Lindaja Aguas Frías-La Lindaja</t>
  </si>
  <si>
    <t>Vereda la Lindaja - Planta de tratamiento</t>
  </si>
  <si>
    <t>Asociacion de Usuarios del Acueducto La Lindaja-Planta de Tratamiento</t>
  </si>
  <si>
    <t>Vereda  La Arboleda</t>
  </si>
  <si>
    <t>Asociacion de Suscriptores o Usuarios del Acueducto La Arboleda</t>
  </si>
  <si>
    <t>Vereda Puerto Limón</t>
  </si>
  <si>
    <t>Asociacion de Usuarios del Acueducto Veredal Puerto Limon</t>
  </si>
  <si>
    <t>Vereda  Manzanillo</t>
  </si>
  <si>
    <t>Asociación de Usuarios del Acueducto Veredal El Manzanillo</t>
  </si>
  <si>
    <t>Corregimiento  Farallones</t>
  </si>
  <si>
    <t>Asociación de Suscriptores o Usuarios del Acueducto San Bernardo de Los Farallones</t>
  </si>
  <si>
    <t>Vereda  Ventorrillo</t>
  </si>
  <si>
    <t>Asociación de Usuarios del Acueducto Multiveredal Ventorrillo, Abejero - Ventorillo</t>
  </si>
  <si>
    <t>Vereda  Abejero</t>
  </si>
  <si>
    <t>Asociación de Usuarios del Acueducto Multiveredal Ventorrillo, Abejero - Abejero</t>
  </si>
  <si>
    <t>Vereda La María</t>
  </si>
  <si>
    <t>Asociación de Usuarios Acueducto La María</t>
  </si>
  <si>
    <t>Sector  La Raya</t>
  </si>
  <si>
    <t>Junta de Acción Comunal La Raya.</t>
  </si>
  <si>
    <t>Sector Corrales</t>
  </si>
  <si>
    <t>Asociación de Usuarios Acueducto Corrales.</t>
  </si>
  <si>
    <t>Vereda San Jose del Golpe</t>
  </si>
  <si>
    <t>Asociación de Usuarios Acueducto El Golpe</t>
  </si>
  <si>
    <t>Vereda La Aurora Llanadas</t>
  </si>
  <si>
    <t>Asociación de Usuarios Acueducto Vereda La Aurora Llanadas</t>
  </si>
  <si>
    <t>Asociación de Usuarios Acueducto La Esperanza-La Esperanza</t>
  </si>
  <si>
    <t>Vereda Llanaditas</t>
  </si>
  <si>
    <t>Asociación de Usuarios Acueducto Llanaditas-Llanaditas</t>
  </si>
  <si>
    <t>Vereda  Morrón</t>
  </si>
  <si>
    <t>Asociación de Usuarios del Acueducto Vereda Morron</t>
  </si>
  <si>
    <t>Asociación de Usuarios del Acueducto Virgen La Milagrosa Vereda La Cristalina</t>
  </si>
  <si>
    <t>Corregimiento El Socorro</t>
  </si>
  <si>
    <t>Junta de Acción Comunal Corregimiento El Socorro</t>
  </si>
  <si>
    <t>Vereda Morelia San Pacho</t>
  </si>
  <si>
    <t>Junta Administradora de Los Servicios de Acueducto y Alcantarillado de Morelia San Pacho</t>
  </si>
  <si>
    <t>Sector Partidas de Morelia</t>
  </si>
  <si>
    <t>Junta Administradora del Acueducto Partidas de Morelia</t>
  </si>
  <si>
    <t>Vereda Palosanto</t>
  </si>
  <si>
    <t>Asociación de Usuarios del Acueducto Palo Santo Municipio de Concordia</t>
  </si>
  <si>
    <t>Vereda Rumbadero</t>
  </si>
  <si>
    <t>Asociación de Usuarios Acueducto Rumbadero</t>
  </si>
  <si>
    <t>Barrio Salazar</t>
  </si>
  <si>
    <t>Junta Administradora de Acueducto Barrio Salazar</t>
  </si>
  <si>
    <t>Asociación de Usuarios del Acueducto del Corregimiento La Loma del Municipio de Yarumal</t>
  </si>
  <si>
    <t>Vereda Pueblorrico Sector Casagrande</t>
  </si>
  <si>
    <t>Asociación de Usuarios Acueducto Sector Casagrande</t>
  </si>
  <si>
    <t>Vereda El Higuerón</t>
  </si>
  <si>
    <t>Asociación de Usuarios Acueducto El Higuerón</t>
  </si>
  <si>
    <t>Vereda Pueblo Riico</t>
  </si>
  <si>
    <t>Asociación de Usuarios Acueducto Pueblo Rico</t>
  </si>
  <si>
    <t>Vereda  Campanas</t>
  </si>
  <si>
    <t>Asociación de Usuarios Acueducto Campanas-Campanas</t>
  </si>
  <si>
    <t>Asociación de Usuarios del Acueducto Vereda Santa Rita Abajo-Santa Rita</t>
  </si>
  <si>
    <t>Vereda Hoyo Frio</t>
  </si>
  <si>
    <t>Asociación de Usuarios del Acueducto de Hoyo Frio</t>
  </si>
  <si>
    <t>Asociación de Usuarios del Acueducto de La Vereda "El Calvario"</t>
  </si>
  <si>
    <t>Vereda  El Zancudo</t>
  </si>
  <si>
    <t xml:space="preserve">Asociación de Usuarios del Acueducto y Alcantarillado de La Vereda El Zancudo </t>
  </si>
  <si>
    <t>Vereda El Cinco</t>
  </si>
  <si>
    <t>Asociación de Usuarios del Acueducto de La Vereda El Cinco</t>
  </si>
  <si>
    <t>Vereda Murrapal</t>
  </si>
  <si>
    <t>Asociación de Usuarios del Acueducto de La Vereda Murrapal  - ASOMURRA</t>
  </si>
  <si>
    <t>Vereda Combia Grande</t>
  </si>
  <si>
    <t>Asociación de Usuarios del Acueducto La Milagrosa de La Vereda Combia Grande</t>
  </si>
  <si>
    <t>Vereda Combia Chiquita</t>
  </si>
  <si>
    <t>Asociación de Usuarios Acueducto Vereda Combia Chiquita</t>
  </si>
  <si>
    <t>Corregimiento Marsella</t>
  </si>
  <si>
    <t>Asociación de Usuarios del Acueducto del Corregimiento de Marsella</t>
  </si>
  <si>
    <t>Corregimiento Palomos</t>
  </si>
  <si>
    <t>Asociación de Usuarios del Acueducto del Corregimiento Los Palomos</t>
  </si>
  <si>
    <t xml:space="preserve"> Corregimiento Puente Iglesias</t>
  </si>
  <si>
    <t xml:space="preserve">Asociación de Usuarios del Acueducto Puente Iglesias </t>
  </si>
  <si>
    <t>Vereda Jonas</t>
  </si>
  <si>
    <t>Asociación de Usuarios del Acueducto de Jonas</t>
  </si>
  <si>
    <t>Vereda Asaqui</t>
  </si>
  <si>
    <t>Asociación Aguas de La Quiebra - Asaqui</t>
  </si>
  <si>
    <t>Vereda El Plan</t>
  </si>
  <si>
    <t>ASUAMFRAB- El Plan</t>
  </si>
  <si>
    <t>Vereda El Mango</t>
  </si>
  <si>
    <t>Asociacion de Usuarios del Acueducto Vereda El Mango</t>
  </si>
  <si>
    <t>Vereda  La Toscana</t>
  </si>
  <si>
    <t>ASUAMFRAB- La Toscana</t>
  </si>
  <si>
    <t>Vereda  El Carretero</t>
  </si>
  <si>
    <t>ASUAMFRAB- El Carretero</t>
  </si>
  <si>
    <t>ASUAMFRAB-  La Loma</t>
  </si>
  <si>
    <t>Vereda  El Uvital</t>
  </si>
  <si>
    <t>ASUAMFRAB- El Uvital</t>
  </si>
  <si>
    <t>Vereda El Filo del Uvital</t>
  </si>
  <si>
    <t>ASUAMFRAB-El Filo del Uvital</t>
  </si>
  <si>
    <t>Vereda Sabaletas</t>
  </si>
  <si>
    <t>Asociación de Usuarios del Acueducto de La Vereda Sabaletas E.S.P.-Sabaletas</t>
  </si>
  <si>
    <t>Vereda Alto de Los Fernandez</t>
  </si>
  <si>
    <t xml:space="preserve">Asociacioón de Usuarios de La Vereda Alto de Los Fernandez </t>
  </si>
  <si>
    <t>Asociacion de Usuarios del Acueducto del Sector Tacamocho, de Ña Vereda El Zancudo</t>
  </si>
  <si>
    <t>Vereda La Cordillera</t>
  </si>
  <si>
    <t xml:space="preserve">Asociación de Usuarios del Acueducto La Cordillera </t>
  </si>
  <si>
    <t>Vereda  El Porvenir</t>
  </si>
  <si>
    <t>Asociación de Usuarios del Acueducto El Porvenir</t>
  </si>
  <si>
    <t>Vereda  Buenos Aires</t>
  </si>
  <si>
    <t>Asociacion de Usuarios del Acueducto de Buenos Aires</t>
  </si>
  <si>
    <t>Vereda  El Vainillo</t>
  </si>
  <si>
    <t>Asociacion de Usuarios Acueducto Vereda El Vainillo</t>
  </si>
  <si>
    <t>Vereda  Aguacatal</t>
  </si>
  <si>
    <t>Asociacion de Usuarios del Acueducto de Aguacatal</t>
  </si>
  <si>
    <t>Vereda  Naranjal Poblanco</t>
  </si>
  <si>
    <t>Vereda Cadenas</t>
  </si>
  <si>
    <t>Junta de Accion Comunal Vereda Cadenas</t>
  </si>
  <si>
    <t>Corregimiento Piedra Verde</t>
  </si>
  <si>
    <t>Junta de Accion Comunal Corregimiento Piedra Verde</t>
  </si>
  <si>
    <t>Vereda Chamuscados</t>
  </si>
  <si>
    <t>Asociacion de Usuarios Acueducto de La Vereda Chamuscados</t>
  </si>
  <si>
    <t>Vereda La Garrucha</t>
  </si>
  <si>
    <t>Asociación de Usuarios del Acueducto de La Vereda La Garrucha- ASOGAR</t>
  </si>
  <si>
    <t>Asociacion de Usuarios Acueducto Vereda El  Molino</t>
  </si>
  <si>
    <t>ASUAMFRAB- Travesias</t>
  </si>
  <si>
    <t>Asociación de Usuarios del Acueducto Veredal Agua Pura La Maria</t>
  </si>
  <si>
    <t>Vereda la Florida</t>
  </si>
  <si>
    <t>Asociación de Usuarios del Acueducto Multiveredal Mulato-La Florida</t>
  </si>
  <si>
    <t>Vereda El Llanete</t>
  </si>
  <si>
    <t>Asociación de Usuarios del Acueducto Multiveredal Mulato-El Llanete</t>
  </si>
  <si>
    <t>Vereda La cuelga</t>
  </si>
  <si>
    <t>Asociación de Usuarios del Acueducto Multiveredal Mulato-La Cuelga</t>
  </si>
  <si>
    <t>Vereda El Silencio</t>
  </si>
  <si>
    <t>Asociación de Usuarios del Acueducto Multiveredal Mulato-El Silencio</t>
  </si>
  <si>
    <t>Vereda El Tablazo</t>
  </si>
  <si>
    <t>Asociación de Usuarios del Acueducto Multiveredal Betania-Hispania E.S.P-El Tablazo</t>
  </si>
  <si>
    <t>Vereda Armenia Alta</t>
  </si>
  <si>
    <t>Asociación de Usuarios del Acueducto Multiveredal Betania-Hispania E.S.P-Armenia Alta</t>
  </si>
  <si>
    <t>Vereda La Palmira</t>
  </si>
  <si>
    <t>Asociación de Usuarios del Acueducto Multiveredal Betania-Hispania E.S.P-La Palmira</t>
  </si>
  <si>
    <t>Vereda Armenia baja</t>
  </si>
  <si>
    <t>Asociación de Usuarios del Acueducto Multiveredal Betania-Hispania E.S.P-Armenia Baja</t>
  </si>
  <si>
    <t>Vereda La Seca</t>
  </si>
  <si>
    <t>Asociación de Usuarios del Acueducto Multiveredal Betania-Hispania E.S.P-La Seca</t>
  </si>
  <si>
    <t>Vereda La Salada</t>
  </si>
  <si>
    <t>Asociacion de Usuarios del Acueducto Aguas Unidas-La Salada</t>
  </si>
  <si>
    <t>VeredaQuebrada Bonita</t>
  </si>
  <si>
    <t>Asociacion de Usuarios del Acueducto Aguas Unidas-Quebrada Bonita</t>
  </si>
  <si>
    <t>Vereda Los Pomos</t>
  </si>
  <si>
    <t>Acueducto Veredal Serranias-Los Pomos</t>
  </si>
  <si>
    <t>Vereda La Herrerita</t>
  </si>
  <si>
    <t>Acueducto Veredal Serranias-La Herrerita</t>
  </si>
  <si>
    <t>Acueducto Veredal Serranias-Las Peñas</t>
  </si>
  <si>
    <t>Vereda La Curia</t>
  </si>
  <si>
    <t>Acueducto Veredal Serranias-La Curia</t>
  </si>
  <si>
    <t>Vereda Serranias Parte Baja</t>
  </si>
  <si>
    <t>Acueducto La Valencia-Serranias Parte Baja</t>
  </si>
  <si>
    <t>VeredaSerranias</t>
  </si>
  <si>
    <t>Acueducto Veredal Serranias-Serranias</t>
  </si>
  <si>
    <t>VeredaLa Herrera</t>
  </si>
  <si>
    <t>Acueducto Veredal Serranias-La Herrera</t>
  </si>
  <si>
    <t>Vereda La Casiana</t>
  </si>
  <si>
    <t>Asociacion de Usuarios del Acueducto Multiveredal de Jardin-La Casiana</t>
  </si>
  <si>
    <t>Vereda Morro Amarillo</t>
  </si>
  <si>
    <t>Asociacion de Usuarios del Acueducto Multiveredal de Jardin-Morro Amarillo</t>
  </si>
  <si>
    <t>Vereda San Bartolo Jardin</t>
  </si>
  <si>
    <t>Asociacion de Usuarios del Acueducto Multiveredal de Jardin-San Bartolo Jardín</t>
  </si>
  <si>
    <t>Vereda Cristianía</t>
  </si>
  <si>
    <t>Asociacion de Usuarios del Acueducto Multiveredal de Jardin-Cristiania</t>
  </si>
  <si>
    <t>Vereda El Tapado</t>
  </si>
  <si>
    <t>Asociacion de Usuarios del Acueducto Multiveredal de Jardin-El Tapado</t>
  </si>
  <si>
    <t>Vereda Caramanta</t>
  </si>
  <si>
    <t>Asociacion de Usuarios del Acueducto Multiveredal de Jardin-Caramanta</t>
  </si>
  <si>
    <t>Vereda La Linda</t>
  </si>
  <si>
    <t>Asociacion de Usuarios del Acueducto Multiveredal de Jardin-La Linda</t>
  </si>
  <si>
    <t>Vereda La Arboleda</t>
  </si>
  <si>
    <t>Asociación de Usuarios del Acueducto La Arboleda Rio Claro del Municipio de Jardin-La Arboleda</t>
  </si>
  <si>
    <t>Vereda Rio Claro</t>
  </si>
  <si>
    <t>Asociación de Usuarios del Acueducto La Arboleda Rio Claro del Municipio de Jardin-Rio Claro</t>
  </si>
  <si>
    <t>Vereda Alto Del Indio</t>
  </si>
  <si>
    <t>Asociación de Usuarios del Acueducto La Arboleda Rio Claro del Municipio de Jardin-Alto del Indio</t>
  </si>
  <si>
    <t>Asociación de Usuarios del Acueducto La Arboleda Rio Claro del Municipio de Jardin-La Montañita</t>
  </si>
  <si>
    <t>Vereda Gibraltar</t>
  </si>
  <si>
    <t>Junta de Usuarios del Acueducto de Avermar-Gibraltar</t>
  </si>
  <si>
    <t>Vereda Las Margaritas</t>
  </si>
  <si>
    <t>Junta de Usuarios del Acueducto de Avermar-Las Margaritas</t>
  </si>
  <si>
    <t>Vereda Verdun</t>
  </si>
  <si>
    <t>Acueducto Verdun Gibraltar-Verdun</t>
  </si>
  <si>
    <t>Vereda Guacamayal</t>
  </si>
  <si>
    <t>Junta de Acción Comunal Vereda Guacamayal</t>
  </si>
  <si>
    <t>Vereda  La Leona</t>
  </si>
  <si>
    <t>Junta de Acción Comunal Vereda La Leona</t>
  </si>
  <si>
    <t>Vereda San Ramón</t>
  </si>
  <si>
    <t>Junta de Acción Comunal San Ramón - Los Arrayanes</t>
  </si>
  <si>
    <t>Asociación de Usuarios del Acueducto La Hermosa</t>
  </si>
  <si>
    <t>Corregimiento Palo Cabildo</t>
  </si>
  <si>
    <t>Asociación Comunitaria del Acueducto del Corregimiento de Palocabildo Municipio de Jerico - Aguas del Roble.</t>
  </si>
  <si>
    <t>Vereda La Pradera</t>
  </si>
  <si>
    <t>Junta de Acción Comunal Vereda La Pradera</t>
  </si>
  <si>
    <t>Vereda Estrella Nueva</t>
  </si>
  <si>
    <t>Asociacion de Usuarios del Acueducto de Las Veredas Estrella Nueva y Estrella Vieja</t>
  </si>
  <si>
    <t>Vereda La Pista</t>
  </si>
  <si>
    <t>Asociación de Usuarios del Acueducto Multiveredal El Chuscal - Multichuscal - La Pista</t>
  </si>
  <si>
    <t>Asociación de Usuarios del acueducto aguas de La Soledad</t>
  </si>
  <si>
    <t>Vereda Los Patios</t>
  </si>
  <si>
    <t>Asociacion de Usuarios del Acueducto Multiveredal Los Patios  - Ciudadela - Acupatios</t>
  </si>
  <si>
    <t>Vereda El Zacatin</t>
  </si>
  <si>
    <t>Junta de Acción Comunal Vereda El Zacatín</t>
  </si>
  <si>
    <t>Asociación de Usuarios del Acueducto Multiveredal Guacamayal -La Leona (Multiedesa) - La Leona</t>
  </si>
  <si>
    <t>Junta Administradora del Acueducto Vereda La Aguada</t>
  </si>
  <si>
    <t xml:space="preserve">Asociación de Usuarios del Acueducto Palenque - La Virgen </t>
  </si>
  <si>
    <t>Multiveredal Buga - Palenque  - Buga (Acuebuga)</t>
  </si>
  <si>
    <t>Vereda  Palenquito</t>
  </si>
  <si>
    <t>Junta de Acción Comunal Vereda Palenquito</t>
  </si>
  <si>
    <t>Vereda Castalia</t>
  </si>
  <si>
    <t xml:space="preserve">Asociación de Usuarios del Acueducto de La Vereda Castalia - Asuveca </t>
  </si>
  <si>
    <t>Vereda Cauca Viejo</t>
  </si>
  <si>
    <t>Operadores de Servicios S.A. E.S.P-Cauca Viejo</t>
  </si>
  <si>
    <t>Junta de Acción Comunal de Altamira</t>
  </si>
  <si>
    <t>Vereda Vallecitos</t>
  </si>
  <si>
    <t>Asociación Comunitaria Acueducto Vereda Vallecitos</t>
  </si>
  <si>
    <t>Vereda Quebradona Arriba</t>
  </si>
  <si>
    <t>Junta de Acción Comunal Quebradona Arriba</t>
  </si>
  <si>
    <t>Vereda La Fé</t>
  </si>
  <si>
    <t>Junta de Acción Comunal Vereda La Fé</t>
  </si>
  <si>
    <t>Vereda La Cestillala</t>
  </si>
  <si>
    <t>Junta de Acción Comunal Vereda Cestillala</t>
  </si>
  <si>
    <t>Junta de Acción Comunal Corregimiento Sabaletas</t>
  </si>
  <si>
    <t>Vereda El Churimo</t>
  </si>
  <si>
    <t>Junta de Acción Comunal Vereda El Churimo</t>
  </si>
  <si>
    <t>Junta de Acción Comunal Vereda El Tablazo</t>
  </si>
  <si>
    <t>Junta de Acción Comunal Vereda Campo Alegre</t>
  </si>
  <si>
    <t>Vereda El Olival Parte Alta</t>
  </si>
  <si>
    <t>Asociación de Usuarios del Acueducto Veredal Agua Viva El Olival  Parte Alta</t>
  </si>
  <si>
    <t>Vereda Encenillo</t>
  </si>
  <si>
    <t>Junta de Acción Comunal Vereda Encenillo</t>
  </si>
  <si>
    <t>Junta de Acción Comunal Vereda La Quiebra</t>
  </si>
  <si>
    <t>Junta de Acción Comunal VeredaSan Antonio</t>
  </si>
  <si>
    <t>VeredaEl Olival Parte Baja</t>
  </si>
  <si>
    <t>Asociación de Usuarios del Acueducto Veredal Agua Viva El Olival Parte Baja</t>
  </si>
  <si>
    <t>VeredaLa Peña Parte Alta</t>
  </si>
  <si>
    <t>Junta de Acción Comunal Vereda La Peña Parte Alta</t>
  </si>
  <si>
    <t>Vereda La Peña Parte Baja</t>
  </si>
  <si>
    <t>Junta de Acción Comunal Vereda La Peña Parte Baja</t>
  </si>
  <si>
    <t>Vereda Getsemani</t>
  </si>
  <si>
    <t>Junta de Acción Comunal Vereda Getsemani</t>
  </si>
  <si>
    <t>Vereda El Gavilan</t>
  </si>
  <si>
    <t>Junta de Acción Comunal Vereda El Gavilan</t>
  </si>
  <si>
    <t>Vereda La Granja</t>
  </si>
  <si>
    <t>Junta de Acción Comunal Vereda La Granja</t>
  </si>
  <si>
    <t>Vereda Zarcitos Parte Alta</t>
  </si>
  <si>
    <t>Junta de Acción Comunal Vereda Zarcitos Parte Alta</t>
  </si>
  <si>
    <t>Vereda Sabanitas Parte Alta</t>
  </si>
  <si>
    <t>Asociación de Usuarios Acueducto Fuentes Unidas Sabanitas Parte Alta</t>
  </si>
  <si>
    <t>Vereda Sabanitas Parte Baja</t>
  </si>
  <si>
    <t>Asociación de Usuarios Acueducto Fuentes Unidas Sabanitas Parte Baja</t>
  </si>
  <si>
    <t>Vereda Zarcitos Parte Baja</t>
  </si>
  <si>
    <t>Junta de Acción Comunal Vereda Zarcitos Parte Baja</t>
  </si>
  <si>
    <t>Vereda  La Pica</t>
  </si>
  <si>
    <t>Asociacion de Usuarios del  Acueducto de la  Vereda La Pica del municipio de Pueblorrico</t>
  </si>
  <si>
    <t>Vereda  Santa  Bárbara</t>
  </si>
  <si>
    <t>Junta Administradora del Acueducto Santa Bárbara</t>
  </si>
  <si>
    <t xml:space="preserve">Vereda California </t>
  </si>
  <si>
    <t>Asociacion de Usuarios del Acueducto de La Vereda California  del municipio de Pueblorrico</t>
  </si>
  <si>
    <t>Vereda Mulatico</t>
  </si>
  <si>
    <t>Asociacion de Usuarios del Acueducto de La Vereda Mulatico del municipio de Pueblorrico</t>
  </si>
  <si>
    <t>Vereda  La Gómez</t>
  </si>
  <si>
    <t>Asociacion de Usuarios  del  Acueducto de la Vereda La Gómez del municipio de Pueblorrico</t>
  </si>
  <si>
    <t>Vereda El Barcino</t>
  </si>
  <si>
    <t>Asociacion de Usuarios del Acueducto de La Vereda El Barcino  de Pueblorrcio Antioquia</t>
  </si>
  <si>
    <t>Vereda La Humareda</t>
  </si>
  <si>
    <t>Asociación de Usuarios La Humareda</t>
  </si>
  <si>
    <t>Vereda Chaquiro Arriba</t>
  </si>
  <si>
    <t>Asociación de Usuarios del Acueducto de La Vereda La Chaquiro Arriba</t>
  </si>
  <si>
    <t xml:space="preserve">Vereda El Carmelo Paraje Dos </t>
  </si>
  <si>
    <t xml:space="preserve">Asociación de Usuarios del Acueducto de La Vereda El Carmelo Paraje Dos </t>
  </si>
  <si>
    <t>Vereda  Bella Vista</t>
  </si>
  <si>
    <t xml:space="preserve">Asociación de Usuarios del Acueducto de La Vereda Bella Vista </t>
  </si>
  <si>
    <t>Vereda Gulunga Parte Alta</t>
  </si>
  <si>
    <t>Asociación de Usuarios del Acueducto de La Vereda La Gulunga Parte Alta</t>
  </si>
  <si>
    <t>Vereda Corregimiento La Margarita</t>
  </si>
  <si>
    <t>Asociación de Usuarios del Acueducto del Corregimiento La Margarita</t>
  </si>
  <si>
    <t>Vereda El Leon</t>
  </si>
  <si>
    <t xml:space="preserve">Asociación de Usuarios del Acueducto de La Vereda El Leon </t>
  </si>
  <si>
    <t>Asociación de Usuarios del Acueducto La Montañita</t>
  </si>
  <si>
    <t>ASO-La Taborda</t>
  </si>
  <si>
    <t>Asociación de Usuarios La Taborda</t>
  </si>
  <si>
    <t>Vereda Llanadas</t>
  </si>
  <si>
    <t xml:space="preserve">Asociación de Usuarios del Acueducto de La Vereda Llanadas </t>
  </si>
  <si>
    <t>Vereda Corregimiento Concilio</t>
  </si>
  <si>
    <t xml:space="preserve">Asociación de Usuarios del Acueducto del Corregimiento El Concilio </t>
  </si>
  <si>
    <t>Vereda Corregimiento Peñalisa</t>
  </si>
  <si>
    <t>Asociación de Usuarios Peñalisa</t>
  </si>
  <si>
    <t>Corregimiento La Margarita</t>
  </si>
  <si>
    <t>Empresas Publicas de Salgar S.A. E.S.P.-Corregimiento La Margarita</t>
  </si>
  <si>
    <t>Vereda Corregimiento La Camara</t>
  </si>
  <si>
    <t>Asociación de Usuarios del Acueducto del Corregimiento La Cámara</t>
  </si>
  <si>
    <t>Vereda La Chaquiro Abajo</t>
  </si>
  <si>
    <t xml:space="preserve">Asociación de Usuarios del Acueducto de La Vereda La Chaquiro Abajo </t>
  </si>
  <si>
    <t>Vereda Clara Arriba</t>
  </si>
  <si>
    <t>Asociación de Usuarios del Acueducto de La Vereda Clara Arriba</t>
  </si>
  <si>
    <t>Vereda La Chuchita</t>
  </si>
  <si>
    <t>Asociación de Usuarios La Chuchita</t>
  </si>
  <si>
    <t xml:space="preserve">Asociación de Usuarios del Acueducto de La Vereda Morritos </t>
  </si>
  <si>
    <t>AUA La Montañita- Miraflores</t>
  </si>
  <si>
    <t>Asociación  de Usuarios del Acueducto La Montañita-Miraflores</t>
  </si>
  <si>
    <t>Vereda Paraje Uno</t>
  </si>
  <si>
    <t>Asociación De Usuarios Acueducto El Carmelo Paraje Uno</t>
  </si>
  <si>
    <t>Vereda Chaquiro Dos</t>
  </si>
  <si>
    <t>Asociación De Usuarios Acueducto Vereda Chaquiro Dos</t>
  </si>
  <si>
    <t>Paraje El Clavel</t>
  </si>
  <si>
    <t xml:space="preserve">Asociación de Usuarios del Acueducto El Paraje El Clavel </t>
  </si>
  <si>
    <t>Vereda Ovejita</t>
  </si>
  <si>
    <t xml:space="preserve">Asociación de Usuarios del Acueducto de La Vereda La Ovejita </t>
  </si>
  <si>
    <t>Vereda Siberia</t>
  </si>
  <si>
    <t>Asociación de Usuarios del Acueducto de La Vereda La Siberia</t>
  </si>
  <si>
    <t>Vereda Alto de Marines</t>
  </si>
  <si>
    <t xml:space="preserve">Asociación de Usuarios del Acueducto de La Vereda Los Marines </t>
  </si>
  <si>
    <t>Corregimiento de Damasco</t>
  </si>
  <si>
    <t>Asociación de Usuarios del Acueducto Multiveredal del Corregimiento de Damasco-Corregimiento de Damasco</t>
  </si>
  <si>
    <t xml:space="preserve">Asociación Usuarios Acueducto Palmichal </t>
  </si>
  <si>
    <t>Asociación de Usuarios Acueducto Yarumalito</t>
  </si>
  <si>
    <t xml:space="preserve"> Corregimiento Versalles</t>
  </si>
  <si>
    <t>Asociación de Usuarios del Acueducto del Corregimiento de Versalles</t>
  </si>
  <si>
    <t>Buenavista</t>
  </si>
  <si>
    <t>Acueducto Junta de Acción Comunal- Buenavista</t>
  </si>
  <si>
    <t>Sector La ondina</t>
  </si>
  <si>
    <t>Acueducto Junta de Acción Comunal -Sector La Ondina</t>
  </si>
  <si>
    <t>Vereda Cordoncillo</t>
  </si>
  <si>
    <t>Asociación Acueducto Vereda Cordoncillo</t>
  </si>
  <si>
    <t xml:space="preserve">Junta de Acción Comunal Vereda Cristo Rey </t>
  </si>
  <si>
    <t>Quiebra del Barro</t>
  </si>
  <si>
    <t>Acueducto Quiebra del Barro</t>
  </si>
  <si>
    <t>Vereda Quiebra de Guamito</t>
  </si>
  <si>
    <t>Asociación de Acueducto Vereda Quiebra de Guamito</t>
  </si>
  <si>
    <t>Asociación de Usuarios del Acueducto Multiveredal Las Mercedes Los Naranjos Pitayo-Las Mercedes</t>
  </si>
  <si>
    <t xml:space="preserve">Asociación  Acueducto Vereda Guamal </t>
  </si>
  <si>
    <t>Vereda El Guacimo Parte Baja</t>
  </si>
  <si>
    <t>Asociación de Usuarios del Acueducto Multiveredal del Corregimiento de Damasco-Vereda El Guacimo Parte Baja</t>
  </si>
  <si>
    <t>Vereda La Umbría</t>
  </si>
  <si>
    <t>Asociación de Usuarios del Acueducto Multiveredal del Corregimiento de Damasco-Vereda La Umbría</t>
  </si>
  <si>
    <t>Vereda Pavas Parte Alta</t>
  </si>
  <si>
    <t>Operadores de Servicios S.A E.S.P - Vereda Pavas Parte Alta</t>
  </si>
  <si>
    <t>VeredaLa Liboriana</t>
  </si>
  <si>
    <t>Asociacion de Suscriptores del Acueducto y Alcantarillado de La Vereda La Liboriana, Corregimiento de Versalles - ACAVELI</t>
  </si>
  <si>
    <t>Vereda San Isidro Parte Baja</t>
  </si>
  <si>
    <t>Junta Administradora Acueducto Vereda San Isidro Parte Baja</t>
  </si>
  <si>
    <t>Vereda Aguacatal</t>
  </si>
  <si>
    <t>Junta de Acción Comunal Vereda Aguacatal</t>
  </si>
  <si>
    <t>Vereda Corozal</t>
  </si>
  <si>
    <t>Junta de Acción Comunal Vereda Corozal</t>
  </si>
  <si>
    <t xml:space="preserve">Junta de Acción Comunal Vereda La Primavera </t>
  </si>
  <si>
    <t>Morroplancho Parte Baja- Campamento</t>
  </si>
  <si>
    <t>Coorporación Acueducto Morroplancho Parte Baja Sector Campamento</t>
  </si>
  <si>
    <t>Morroplancho Parte Alta- Campamento</t>
  </si>
  <si>
    <t>Coorporación Acueducto Morroplancho Parte Alta Sector Campamento</t>
  </si>
  <si>
    <t>Vereda Pitayó</t>
  </si>
  <si>
    <t>Asociación Usuarios Acueducto Pitayo</t>
  </si>
  <si>
    <t>Vereda Poblanco</t>
  </si>
  <si>
    <t xml:space="preserve">Asociación de Usuarios del Acueducto Poblanco </t>
  </si>
  <si>
    <t>Vereda El Helechal</t>
  </si>
  <si>
    <t>Asociación de Usuarios del Acueducto de La Vereda El Helechal</t>
  </si>
  <si>
    <t>JAC-La Esperanza</t>
  </si>
  <si>
    <t>Acueducto Junta de Acción Comunal La Esperanza</t>
  </si>
  <si>
    <t>Vereda Alto de los Gomez</t>
  </si>
  <si>
    <t>Operadores de Servicios S.A E.S.P - Vereda Alto de Los Gomez</t>
  </si>
  <si>
    <t>Vereda Atanasio</t>
  </si>
  <si>
    <t>Operadores de Servicios S.A E.S.P - Vereda  Atanasio</t>
  </si>
  <si>
    <t>Vereda  La Ursula</t>
  </si>
  <si>
    <t>Operadores de Servicios S.A E.S.P - Vereda La Ursula</t>
  </si>
  <si>
    <t>Operadores de Servicios S.A E.S.P - Vereda El Guayabo</t>
  </si>
  <si>
    <t>Vereda Corozal Parte Alta</t>
  </si>
  <si>
    <t xml:space="preserve">Operadores de Servicios S.A E.S.P - Vereda  Corozal Parte Alta </t>
  </si>
  <si>
    <t>Operadores de Servicios S.A E.S.P - Vereda El Vergel</t>
  </si>
  <si>
    <t>Vereda Los Charcos</t>
  </si>
  <si>
    <t>Operadores de Servicios S.A E.S.P - Vereda Los Charcos</t>
  </si>
  <si>
    <t>Vereda Quiebra del Barro</t>
  </si>
  <si>
    <t>Operadores de Servicios S.A E.S.P - Vereda Quiebra del Barro</t>
  </si>
  <si>
    <t>Vereda Loma Larga Parte Alta</t>
  </si>
  <si>
    <t>Operadores de Servicios S.A E.S.P - Vereda Loma Larga Parte Alta</t>
  </si>
  <si>
    <t xml:space="preserve">Vereda Loma Larga </t>
  </si>
  <si>
    <t>Asociación Junta Administradora Acueducto Loma Larga</t>
  </si>
  <si>
    <t>Vereda San Isidro Parte Alta</t>
  </si>
  <si>
    <t>Operadores de Servicios S.A E.S.P - San Isidro Parte Alto</t>
  </si>
  <si>
    <t>Vereda Palocoposo</t>
  </si>
  <si>
    <t>Operadores de Servicios S.A E.S.P - Vereda Palocoposo</t>
  </si>
  <si>
    <t>Vereda La Arcadia</t>
  </si>
  <si>
    <t>Asociación Acueducto Vereda La Arcadia</t>
  </si>
  <si>
    <t>Vereda Loma de Don Santos</t>
  </si>
  <si>
    <t xml:space="preserve">Junta Administradora de Acueducto Vereda Loma de Don Santos </t>
  </si>
  <si>
    <t>Junta Administradora de Acueducto Vereda San Luis  Lora</t>
  </si>
  <si>
    <t>Corregimiento de Palermo</t>
  </si>
  <si>
    <t>Junta Administradora de Acueducto Corregimiento de Palermo</t>
  </si>
  <si>
    <t>Junta Administradora de Acueducto Vereda  Corozal</t>
  </si>
  <si>
    <t>Corregimiento San Pablo</t>
  </si>
  <si>
    <t>Junta Administradora de Acueducto Corregimiento de San Pablo</t>
  </si>
  <si>
    <t>Veredas Rio Claro-Otrabanda</t>
  </si>
  <si>
    <t>Junta Administradora de Acueducto Rio Claro -Otrabanda</t>
  </si>
  <si>
    <t>Junta Administradora del Acueducto Vereda Travesias</t>
  </si>
  <si>
    <t xml:space="preserve">Vereda Cedeño Bajo( viejo) </t>
  </si>
  <si>
    <t>Junta Administradora del Acueducto Vereda Cedeño Bajo</t>
  </si>
  <si>
    <t>Vereda Manzanares</t>
  </si>
  <si>
    <t>Junta Administradora de Acueducto Manzanares</t>
  </si>
  <si>
    <t>Vereda Cedeño Alto</t>
  </si>
  <si>
    <t>Junta Administradora de Acueducto Multiveredal Acuacartama-Cedeño Alto</t>
  </si>
  <si>
    <t>Vereda Cedeño Bajo</t>
  </si>
  <si>
    <t>Junta Administradora de Acueducto Multiveredal Acuacartama-Cedeño Bajo</t>
  </si>
  <si>
    <t xml:space="preserve">Vereda La Alacena </t>
  </si>
  <si>
    <t>Asociacion de Usuarios de Acueducto Multiveredal La Alacena, El Hacha y El Tabor-La Alacena</t>
  </si>
  <si>
    <t>Vereda El Hacha</t>
  </si>
  <si>
    <t>Asociacion de Usuarios de Acueducto Multiveredal La Alacena, El Hacha y El Tabor-El Hacha</t>
  </si>
  <si>
    <t>Asociacion de Usuarios de Acueducto Multiveredal La Alacena, El Hacha y El Tabor-El Tabor</t>
  </si>
  <si>
    <t>Vereda El Encanto</t>
  </si>
  <si>
    <t>ASOAGUAS -El Encanto</t>
  </si>
  <si>
    <t>ASOAGUAS -El Pescadero</t>
  </si>
  <si>
    <t>Vereda El Libano</t>
  </si>
  <si>
    <t>Junta Administradora de Acueducto El Libano</t>
  </si>
  <si>
    <t>Asociación de Usuarios Acueducto San Isidro, El Rayo-San Isidro</t>
  </si>
  <si>
    <t>ASOAGUAS -El Rayo</t>
  </si>
  <si>
    <t>Asociacion de Usuarios de Acueducto Veredal Santa Teresa-Santa Teresa</t>
  </si>
  <si>
    <t>Vereda San Pedro</t>
  </si>
  <si>
    <t>Multiveredal Campo Alegre- La Matilde- San Pedro</t>
  </si>
  <si>
    <t>Vereda La Matilde</t>
  </si>
  <si>
    <t>Multiveredal Campo Alegre- La Matilde- La Matilde</t>
  </si>
  <si>
    <t>Multiveredal Campo Alegre- Campo Alegre</t>
  </si>
  <si>
    <t>vereda  La Mirla</t>
  </si>
  <si>
    <t>Junta Administradora de Acueducto Multiveredal Acuacartama-La Mirla</t>
  </si>
  <si>
    <t>Junta Administradora de Acueducto Multiveredal Acuacartama- La Florida</t>
  </si>
  <si>
    <t>Junta Administradora de Acueducto Multiveredal Acuacartama-Guayabal</t>
  </si>
  <si>
    <t>Junta Administradora de Acueducto Multiveredal Acuacartama-Resguardo Indigena</t>
  </si>
  <si>
    <t>Vereda La Pastora</t>
  </si>
  <si>
    <t>Junta Administradora de Acueducto Multiveredal Acuacartama-La Pastora</t>
  </si>
  <si>
    <t>Vereda Nudillales</t>
  </si>
  <si>
    <t>Junta Administradora de Acueducto Multiveredal Acuacartama-Nudillales</t>
  </si>
  <si>
    <t>Vereda La Argentina</t>
  </si>
  <si>
    <t>Junta Administradora  Acueducto Piedra de Moler-La Argentina</t>
  </si>
  <si>
    <t>Vereda La Mesa</t>
  </si>
  <si>
    <t>Asociacion de Usuarios de Acueducto Vereda  La Mesa</t>
  </si>
  <si>
    <t>Veredas Rio Claro-Rio Claro</t>
  </si>
  <si>
    <t>Junta Administradora de Acueducto Rio Claro-Rio Claro</t>
  </si>
  <si>
    <t>Vereda Piedra de Moler</t>
  </si>
  <si>
    <t>Junta Administradora  Acueducto Piedra de Moler-Piedra de Moler</t>
  </si>
  <si>
    <t>Vereda Canaan</t>
  </si>
  <si>
    <t>Parcelacion Cauca Viejo-Tarso</t>
  </si>
  <si>
    <t>Vereda  La Linda</t>
  </si>
  <si>
    <t>Junta de Acción Comunal Vereda La Linda</t>
  </si>
  <si>
    <t>Vereda  El Cedron</t>
  </si>
  <si>
    <t>Junta de Acción Comunal Vereda El Cedron</t>
  </si>
  <si>
    <t>Junta de Acción Comunal Vereda La Arboleda</t>
  </si>
  <si>
    <t>Vereda  San Afortunato</t>
  </si>
  <si>
    <t>Junta de Acción Comunal Vereda La Dolores-San Afortunato</t>
  </si>
  <si>
    <t>Vereda  San Francisco</t>
  </si>
  <si>
    <t>Condominio Campestre Palma Real Vereda San Francisco</t>
  </si>
  <si>
    <t>Vereda  Chaguany</t>
  </si>
  <si>
    <t>Junta de Acción Comunal Vereda Chaguany</t>
  </si>
  <si>
    <t>Empresa de Servicios Publicos de Tarso S.A E.S.P. Vereda Patio Bonito</t>
  </si>
  <si>
    <t>Corregimiento La Meseta Sector El Hoyo</t>
  </si>
  <si>
    <t>Asociacion de Suscriptores o Usuarios del Acueducto y Alcantarillado La Meseta - Sector El Hoyo</t>
  </si>
  <si>
    <t>Corregimiento La Meseta</t>
  </si>
  <si>
    <t>Asociacion de Suscriptores o Usuarios del Acueducto y Alcantarillado La Meseta-Meseta</t>
  </si>
  <si>
    <t xml:space="preserve"> Corregimiento Sitio Viejo</t>
  </si>
  <si>
    <t>Asociacion de Usuarios del Acueducto y Alcantarillado Corregimiento Sitio Viejo</t>
  </si>
  <si>
    <t>Corregimiento La Otra Mina</t>
  </si>
  <si>
    <t>Junta Administradora del Acueducto de Otramina</t>
  </si>
  <si>
    <t>Vereda Falda Del Cauca</t>
  </si>
  <si>
    <t>Asociacion de Suscriptores o Usuarios del Acueducto y Alcantarillado Falda del Cauca</t>
  </si>
  <si>
    <t>Asociacion de Suscriptores o Usuarios Acueducto y Alcantarillado Vereda El Morro</t>
  </si>
  <si>
    <t>Junta Administradora Acueducto y Alcantarillado El Zancudo</t>
  </si>
  <si>
    <t>Asociacion de Suscriptores o Usuarios del Acueducto y Alcantarillado Campo Alegre</t>
  </si>
  <si>
    <t>Vereda Alto de Corcovado</t>
  </si>
  <si>
    <t>Acueducto Alto de Corcovado</t>
  </si>
  <si>
    <t>Sector Falda de los Upegui</t>
  </si>
  <si>
    <t>Asociacion de Suscriptores o Usuarios del Acueducto Falda de Los Upegui</t>
  </si>
  <si>
    <t>Vereda Los Micos</t>
  </si>
  <si>
    <t>Asociacion de Suscriptores o Usuarios del Acueducto y Alcantarillado Los Micos - ASUAALOSMI</t>
  </si>
  <si>
    <t>Corregimiento La Albania</t>
  </si>
  <si>
    <t>Asociacion Junta Acueducto Sector Hoyo del Barro, Corregimiento del Libano, La Albania</t>
  </si>
  <si>
    <t>Asociación de Suscriptores o Usuarios Acueducto y Alcantarillado El Porvenir</t>
  </si>
  <si>
    <t>Vereda Puerto Escondido</t>
  </si>
  <si>
    <t>Asociación de Suscriptores o Usuarios del Acueducto y Alcantarillado Puerto Escondido</t>
  </si>
  <si>
    <t>Vereda El Caracol</t>
  </si>
  <si>
    <t>Asociación de Usuarios del Acueducto Multiveredal Angelopolis, Amaga y Titiribi-El Caracol</t>
  </si>
  <si>
    <t>Vereda El Volcàn</t>
  </si>
  <si>
    <t>Asociacion de Suscriptores o Usuarios Acueducto y Alcantarillado El Volcan</t>
  </si>
  <si>
    <t>Corregimiento La Albania-Sector El Filo</t>
  </si>
  <si>
    <t>Asociación Acueducto El Trapiche, La Polla Sector El Filo</t>
  </si>
  <si>
    <t>Asociacion de Usuarios del Acueducto "Amigos del Agua" de La Vereda La Peña - ASUAVEPE</t>
  </si>
  <si>
    <t>Vereda Corcovado</t>
  </si>
  <si>
    <t>Asociacion de Suscriptores o Usuarios del Acueducto El Nacedero-Corcovado</t>
  </si>
  <si>
    <t>Corcovado Parte Baja</t>
  </si>
  <si>
    <t>Asociacion de Usuarios del Acueducto La Nueva ola - Vereda Corcovado - Parte Baja</t>
  </si>
  <si>
    <t>Vereda Los Pantanos No2</t>
  </si>
  <si>
    <t xml:space="preserve"> Asociación de Usuarios del Acueducto La Tora-Los Pantanos N° 2</t>
  </si>
  <si>
    <t>Vereda Loma Del Guamo</t>
  </si>
  <si>
    <t>Asociación de Suscriptores o Usuarios  Acueducto y Alcantarillado Loma del Guamo</t>
  </si>
  <si>
    <t>Asociacion de Usuarios del Acueducto del Rebose de La Vereda La Peña -Corregimiento La Albania</t>
  </si>
  <si>
    <t>Venta - Saladitos</t>
  </si>
  <si>
    <t>Junta de Acción Comunal Vereda Saladitos</t>
  </si>
  <si>
    <t>Orobugo Medio</t>
  </si>
  <si>
    <t>Asociación de Usuarios Acueducto Vereda Orobugo Medio</t>
  </si>
  <si>
    <t>Barrancos (muy alejado del casco urbano)</t>
  </si>
  <si>
    <t>Junta de Acción Comunal Barrancos</t>
  </si>
  <si>
    <t>Junta de Acción Comunal Vereda San Luis</t>
  </si>
  <si>
    <t>Vereda El Tunal</t>
  </si>
  <si>
    <t xml:space="preserve">Asociación de Usuarios Vereda  El Tunal </t>
  </si>
  <si>
    <t>San Fernando La Lucia</t>
  </si>
  <si>
    <t>Asociación Administradora del Acueducto San Fenando - La Lucia "Asaferlu"</t>
  </si>
  <si>
    <t>Junta de Acción Comunal San Rafael</t>
  </si>
  <si>
    <t>Corregimiento La Encarnacion</t>
  </si>
  <si>
    <t>Junta de Acción Comunal Corregimiento La Encarnacion</t>
  </si>
  <si>
    <t>Los Quemados</t>
  </si>
  <si>
    <t>Junta de Acción Comunal Vereda Los Quemados</t>
  </si>
  <si>
    <t>Vasquez (a mas de 1 día de camino)</t>
  </si>
  <si>
    <t>Junta de Acción Comunal Vasquez</t>
  </si>
  <si>
    <t>La Loma</t>
  </si>
  <si>
    <t>Junta de Acción Comunal Vereda La Loma</t>
  </si>
  <si>
    <t>San Matias</t>
  </si>
  <si>
    <t>Junta de Acción Comunal Vereda San Matias</t>
  </si>
  <si>
    <t>Vereda El Chuscal</t>
  </si>
  <si>
    <t>Junta de Acción Comunal Vereda El Chuscal</t>
  </si>
  <si>
    <t>Sabanas</t>
  </si>
  <si>
    <t>Junta de Acción Comunal Vereda Sabanas</t>
  </si>
  <si>
    <t>El Topacio</t>
  </si>
  <si>
    <t xml:space="preserve">Asociación de Usuarios Vereda El Topacio </t>
  </si>
  <si>
    <t>Asociación de Usuarios Vereda La Honda</t>
  </si>
  <si>
    <t>Vereda Guapantal</t>
  </si>
  <si>
    <t xml:space="preserve">Asociación de Usuarios  Vereda Guapantal </t>
  </si>
  <si>
    <t>Vereda La San Jose</t>
  </si>
  <si>
    <t>Junta Administradora Acueducto  San Jose</t>
  </si>
  <si>
    <t>Vereda Aguacates</t>
  </si>
  <si>
    <t>Asociación de Usuarios Acueducto Aguacates</t>
  </si>
  <si>
    <t>Pavon La Concentracion</t>
  </si>
  <si>
    <t xml:space="preserve">Junta  Acción Comunal Comité de Acueducto Pavon </t>
  </si>
  <si>
    <t>Vereda Pringamozal</t>
  </si>
  <si>
    <t xml:space="preserve">Junta Administradora  Acueducto Vereda Pringamosal </t>
  </si>
  <si>
    <t>Vereda La Cartagena</t>
  </si>
  <si>
    <t>Asociación de Usuarios Acueducto La Cartagena</t>
  </si>
  <si>
    <t>Vereda Arenales</t>
  </si>
  <si>
    <t>Junta Administradora  de Acueducto Vereda Arenales</t>
  </si>
  <si>
    <t>El Porvenir - Pavon</t>
  </si>
  <si>
    <t>Junta de Acción Comunal El Porvenir - Pavon</t>
  </si>
  <si>
    <t>Junta  Acción Comunal Pavon Santa Catalina</t>
  </si>
  <si>
    <t>Pavon Hoyo Rico</t>
  </si>
  <si>
    <t>Junta Administradora  Acueducto Vereda Pavon Hoyo Rico</t>
  </si>
  <si>
    <t>Vereda El Salvador</t>
  </si>
  <si>
    <t>Asociación de Usarios El Salvador</t>
  </si>
  <si>
    <t>Vereda Comuna  La Virgen</t>
  </si>
  <si>
    <t>Junta Administradora Acueducto Comuna La Virgen</t>
  </si>
  <si>
    <t>Vereda Comuna San Jose</t>
  </si>
  <si>
    <t>Asociacion Usuarios Acueducto Comuna San Jose</t>
  </si>
  <si>
    <t>Vereda El Bosque</t>
  </si>
  <si>
    <t>Asociacion Usuarios Acueducto El Bosque</t>
  </si>
  <si>
    <t>Vereda La Fabiana</t>
  </si>
  <si>
    <t>Junta Administradora Acueducto Itima -La Fabiana</t>
  </si>
  <si>
    <t>Vereda La Cumbre-La Graciela</t>
  </si>
  <si>
    <t>Junta Administradora Acueducto La Cumbre-La Graciela</t>
  </si>
  <si>
    <t>Vereda Mallarino</t>
  </si>
  <si>
    <t>Asociacion Usuarios Acueducto Mallarino</t>
  </si>
  <si>
    <t>Vereda Naranjal</t>
  </si>
  <si>
    <t>Junta Administradora Acueducto Naranjal</t>
  </si>
  <si>
    <t>Asociacion Usuarios Acueducto Playa Rica</t>
  </si>
  <si>
    <t>Asociacion Usuarios Acueducto El Libano</t>
  </si>
  <si>
    <t>Junta Administradora Acueducto Sabaletas</t>
  </si>
  <si>
    <t>Vereda La Herradura</t>
  </si>
  <si>
    <t>Junta Administradora Acueducto La Herradura</t>
  </si>
  <si>
    <t>Resguardo Indigena Marcelino Tascon</t>
  </si>
  <si>
    <t xml:space="preserve">Acueducto Resguardo Indigena Marcelino Tascon </t>
  </si>
  <si>
    <t>Corregimiento de Bolombolo</t>
  </si>
  <si>
    <t>Acueductos y Alcantarillados Sostenibles A.A.S S.A.   E.S.P.-Bolombolo</t>
  </si>
  <si>
    <t>Corregimiento La Mina</t>
  </si>
  <si>
    <t>Asociación de Usuarios del Acueducto del Corregimiento de Minas</t>
  </si>
  <si>
    <t>Acueducto Multiveredal Cerro Bravo-Palenque</t>
  </si>
  <si>
    <t>Acueducto Multiveredal Cerro Bravo-Palmichal</t>
  </si>
  <si>
    <t>Vereda La Amalia</t>
  </si>
  <si>
    <t>Acueducto Multiveredal Cerro Bravo-La Amalia</t>
  </si>
  <si>
    <t>Asociación de Suscriptores o Usuarios Acueducto El Cerro</t>
  </si>
  <si>
    <t>Vereda Ventiadero</t>
  </si>
  <si>
    <t>Asociación de Usuarios del Acueducto Vereda Carrizales Parte Baja El Ventiadero</t>
  </si>
  <si>
    <t>Vereda El Narciso</t>
  </si>
  <si>
    <t>Asociación de Usuarios del Acueducto de La Vereda El Narciso</t>
  </si>
  <si>
    <t>Vereda La Arabia</t>
  </si>
  <si>
    <t>Asociación de Usuarios del Acueducto de La Vereda La Arabia</t>
  </si>
  <si>
    <t>Acueducto Multiveredal El Vergel El Hoyo</t>
  </si>
  <si>
    <t>Vereda El Rincon</t>
  </si>
  <si>
    <t>Junta Administradora Vereda El Rincon</t>
  </si>
  <si>
    <t>Vereda El Llano La Antigua</t>
  </si>
  <si>
    <t>Junta Administradora Acueducto El Llano - Vereda El Llano La Antigua</t>
  </si>
  <si>
    <t>Vereda La Timotea</t>
  </si>
  <si>
    <t>Junta de Acción Comunal La Timotea - Vereda La Timotea</t>
  </si>
  <si>
    <t xml:space="preserve">Junta Administradora del Acueducto Santa Teresa - Vereda Santa Teresa </t>
  </si>
  <si>
    <t>Vereda La Nancui</t>
  </si>
  <si>
    <t xml:space="preserve">Junta Administradora del Acueducto La Nancui - Vereda La Nancuí </t>
  </si>
  <si>
    <t>Vereda Potreros 1</t>
  </si>
  <si>
    <t>Junta de Accion Comunal Potreros - Vereda Potreros 1</t>
  </si>
  <si>
    <t>Vereda Quimulá</t>
  </si>
  <si>
    <t>Junta Administra de Acueducto Quimulá - Vereda Quimulá</t>
  </si>
  <si>
    <t>Junta Administra de Acueducto El Eden - Vereda El Eden</t>
  </si>
  <si>
    <t>Vereda El Pedrero</t>
  </si>
  <si>
    <t>Asociación de Usuarios Acueducto Veredal El Pedrero</t>
  </si>
  <si>
    <t>Asociación de Usuarios Acueducto Veredal La Cejita</t>
  </si>
  <si>
    <t>Vereda Monterredondo</t>
  </si>
  <si>
    <t>Asociación de Usuarios del Acueducto Aguas Unidas de Anzá-Monterredondo</t>
  </si>
  <si>
    <t>Corregimiento de Guintar</t>
  </si>
  <si>
    <t>Asociación de Usuarios del Acueducto Corregimiento de Guintar</t>
  </si>
  <si>
    <t>Vereda La Mata</t>
  </si>
  <si>
    <t>Asociación de Usuarios del Acueducto Vereda La Mata</t>
  </si>
  <si>
    <t>Vereda La Quiuna</t>
  </si>
  <si>
    <t>Asociación de Usuarios del Acueducto Aguas Unidas de Anzá - La Quiuna</t>
  </si>
  <si>
    <t>Vereda Los Llanos</t>
  </si>
  <si>
    <t>Junta Administradora Acueducto Vereda Los Llanos</t>
  </si>
  <si>
    <t>Vereda Higuina</t>
  </si>
  <si>
    <t xml:space="preserve">Asociación de Usuarios del Acueducto Vereda Higuina </t>
  </si>
  <si>
    <t>Asociación de Usuarios Acueducto El Nudillo</t>
  </si>
  <si>
    <t>Vereda Vendiagujal</t>
  </si>
  <si>
    <t>Asociación de Usuarios del Acueducto Aguas Unidas de Anzá -Vendiagujal</t>
  </si>
  <si>
    <t>Asociación de Usuarios del Acueducto Aguas Unidas de Anzá -Lomitas</t>
  </si>
  <si>
    <t>Asociación de Usuarios Acueducto Veredal La Quiebra</t>
  </si>
  <si>
    <t>Asociación de Usuarios Acueducto Veredal La Cordillera</t>
  </si>
  <si>
    <t>Vereda La Chuscalita</t>
  </si>
  <si>
    <t>Asociación de Usuarios Acueducto Veredal La Chuscalita</t>
  </si>
  <si>
    <t>Vereda La Choclína</t>
  </si>
  <si>
    <t>Asociación de Usuarios del Acueducto Aguas Unidas de Anzá-La Choclína</t>
  </si>
  <si>
    <t>Vereda El Gredal</t>
  </si>
  <si>
    <t>Asociación de Usuarios Acueducto Veredal El Gredal</t>
  </si>
  <si>
    <t>Vereda  La Herradura</t>
  </si>
  <si>
    <t>Buriticá</t>
  </si>
  <si>
    <t>Corregimeinto de  Guarco</t>
  </si>
  <si>
    <t>Junta de Acción Comunal Corregimiento Guarco</t>
  </si>
  <si>
    <t>Corregimeinto de El Naranjo</t>
  </si>
  <si>
    <t>Junta de Acción Comunal Corregimiento El Naranjo</t>
  </si>
  <si>
    <t>Corregimeinto de la Angelina</t>
  </si>
  <si>
    <t>Junta de Acción Comunal Corregimiento de la Angelina</t>
  </si>
  <si>
    <t>Corregimeinto de Urarco</t>
  </si>
  <si>
    <t>Junta de Acción Comunal Corregimiento Urarco</t>
  </si>
  <si>
    <t>Vereda Llano Chiquito</t>
  </si>
  <si>
    <t>Junta de Acción Comunal Vereda Llano Chiquito</t>
  </si>
  <si>
    <t>Vereda Los Arados</t>
  </si>
  <si>
    <t>Junta de Acción Comunal Vereda de  los Arados</t>
  </si>
  <si>
    <t>Junta de Acción Comunal  Vereda Buenavista</t>
  </si>
  <si>
    <t>Vereda Sincierco</t>
  </si>
  <si>
    <t>Junta de Acción Comunal Vereda Sincierco</t>
  </si>
  <si>
    <t>Vereda Sopetrancito</t>
  </si>
  <si>
    <t>Junta de Acción Comunal Vereda de  Sopetrancito</t>
  </si>
  <si>
    <t>Vereda Untí</t>
  </si>
  <si>
    <t>Junta de Acción Comunal Vereda Untí</t>
  </si>
  <si>
    <t>Vereda Bubará</t>
  </si>
  <si>
    <t>Empresa de Servicios Publicos Domiciliarios de Buritica S.A.  E.S.P.-Bubara</t>
  </si>
  <si>
    <t>Vereda Asomadera</t>
  </si>
  <si>
    <t>Empresa de Servicios Publicos Domiciliarios de Buritica S.A.  E.S.P.-Asomadera</t>
  </si>
  <si>
    <t>Empresa de Servicios Publicos Domiciliarios de Buritica S.A.  E.S.P.-Piedragorda</t>
  </si>
  <si>
    <t>Vereda Carauquia</t>
  </si>
  <si>
    <t>Junta de Acción Comunal Vereda Carauquia</t>
  </si>
  <si>
    <t>Vereda Chunchunco</t>
  </si>
  <si>
    <t>Junta de Acción Comunal Vereda Chunchunco</t>
  </si>
  <si>
    <t>Vereda Conejos</t>
  </si>
  <si>
    <t>Junta de Acción Comunal Vereda Conejos</t>
  </si>
  <si>
    <t>Vereda Costas</t>
  </si>
  <si>
    <t>Junta de Acción Comunal Vereda de Costas</t>
  </si>
  <si>
    <t>Vereda Alto del Obispo</t>
  </si>
  <si>
    <t>Junta de Acción Comunal Vereda Alto del Obispo</t>
  </si>
  <si>
    <t>Vereda Tabacal</t>
  </si>
  <si>
    <t>Junta de Acción Comunal Vereda Tabacal</t>
  </si>
  <si>
    <t>Vereda El León</t>
  </si>
  <si>
    <t>Junta de Acción Comunal Vereda El Leon</t>
  </si>
  <si>
    <t>Junta de Acción Comunal Vereda Guadual</t>
  </si>
  <si>
    <t>Vereda Higabra</t>
  </si>
  <si>
    <t>Junta de Acción Comunal Vereda Higabra</t>
  </si>
  <si>
    <t>Junta de Acción Comunal Vereda Las Brisas</t>
  </si>
  <si>
    <t>Junta de Acción Comunal Vereda La Cordillera</t>
  </si>
  <si>
    <t>Vereda La Fragua</t>
  </si>
  <si>
    <t>Junta de Acción Comunal Vereda de la Fragua</t>
  </si>
  <si>
    <t>Junta de Acción Comunal Vereda La Palma</t>
  </si>
  <si>
    <t>Junta de Acción Comunal Vereda de la Playa</t>
  </si>
  <si>
    <t>Vereda La Vega</t>
  </si>
  <si>
    <t>Junta de Acción Comunal Vereda La Vega</t>
  </si>
  <si>
    <t>Vereda Las Cuatro</t>
  </si>
  <si>
    <t>Junta de Acción Comunal Vereda Las Cuatro</t>
  </si>
  <si>
    <t>Vereda Mogotes</t>
  </si>
  <si>
    <t>Junta de Acción Comunal Vereda Mogotes</t>
  </si>
  <si>
    <t>Vereda Pajarito</t>
  </si>
  <si>
    <t>Junta de Acción Comunal Vereda Pajarito</t>
  </si>
  <si>
    <t>Junta de Acción Comunal Vereda Palenque</t>
  </si>
  <si>
    <t>Junta de Acción Comunal Vereda Llano Grande</t>
  </si>
  <si>
    <t>Vereda El Siento</t>
  </si>
  <si>
    <t>Junta de Acción Comunal Vereda El Siento</t>
  </si>
  <si>
    <t>Vereda El Guaimaro</t>
  </si>
  <si>
    <t>Junta de Acción Comunal Vereda Murrapal</t>
  </si>
  <si>
    <t>Junta de Acción Comunal Vereda Santa Teresa</t>
  </si>
  <si>
    <t>Vereda Los Asientos</t>
  </si>
  <si>
    <t>Junta de Acción Comunal Vereda Los Asientos</t>
  </si>
  <si>
    <t>Vereda Altavista</t>
  </si>
  <si>
    <t>Junta Administradora Acueducto Altavista</t>
  </si>
  <si>
    <t>Vereda Casanova</t>
  </si>
  <si>
    <t>Asociación de Usuarios del Acueducto Multiveredal Hato-Casanova Vereda Casanova</t>
  </si>
  <si>
    <t>Vereda Chochal</t>
  </si>
  <si>
    <t>Asociación de Usuarios del Acueducto San Juan-Chochal Vereda Chochal</t>
  </si>
  <si>
    <t>Vereda El Playon</t>
  </si>
  <si>
    <t>Asociación de Usuarios del Acueducto Multiveredal Playon-Chochal Vereda El Playón</t>
  </si>
  <si>
    <t>Vereda Asesi</t>
  </si>
  <si>
    <t>Junta Administradora Acueducto Asesi</t>
  </si>
  <si>
    <t>Vereda La Cortada</t>
  </si>
  <si>
    <t>Asociación de Usuarios del Acueducto Multiveredal Pinos-Cortada Vereda Cortada</t>
  </si>
  <si>
    <t>Vereda La Cascajala</t>
  </si>
  <si>
    <t xml:space="preserve"> Junta Administradora de Acueducto Multiveredal La Salazar- Cascajala </t>
  </si>
  <si>
    <t>Vereda La Manga</t>
  </si>
  <si>
    <t>Asociación de Usuarios del Acueducto La Manga</t>
  </si>
  <si>
    <t>Asociación de Usuarios del Acueducto El Encanto</t>
  </si>
  <si>
    <t>Asociación de Usuarios del Acueducto La Soledad</t>
  </si>
  <si>
    <t>Vereda La Salazar</t>
  </si>
  <si>
    <t>Asociación de Usuarios del Acueducto La Salazar</t>
  </si>
  <si>
    <t>Vereda El Hato</t>
  </si>
  <si>
    <t>Asociación de Usuarios del Acueducto Multiveredal Hato-Casanova Vereda El Hato</t>
  </si>
  <si>
    <t>Asociación de Usuarios del Acueducto San Juan-Chochal Vereda San Juan</t>
  </si>
  <si>
    <t>Vereda Playón Parte Baja</t>
  </si>
  <si>
    <t>Asociación de Usuarios del Acueducto San Juan-Chochal Vereda Playón Parte Baja</t>
  </si>
  <si>
    <t>Vereda La Balsita</t>
  </si>
  <si>
    <t>Junta Administradora  Acueducto de La Balsita</t>
  </si>
  <si>
    <t>Junta Administradora Acueducto El Socorro</t>
  </si>
  <si>
    <t>Vereda La Aldea</t>
  </si>
  <si>
    <t>Corregimiento Cestillal</t>
  </si>
  <si>
    <t>Corregimiento Juntas de Uramita</t>
  </si>
  <si>
    <t>Junta de Acción Comunal Acueducto de Juntas de Uramita-Corregimiento Juntas de Uramita</t>
  </si>
  <si>
    <t>Vereda Alto del Roble</t>
  </si>
  <si>
    <t>Junta Administradora Acueducto Alto del Roble</t>
  </si>
  <si>
    <t>Junta Administradora Acueducto de Guadual</t>
  </si>
  <si>
    <t>Vereda San Luís del Café</t>
  </si>
  <si>
    <t>Junta de Acción Comunal Acueducto San Luis del Café</t>
  </si>
  <si>
    <t>Vereda Insor Quebrada de Minas</t>
  </si>
  <si>
    <t>Junta Administradora Vereda Buenos Aires-Parte Alta</t>
  </si>
  <si>
    <t>Vereda Los Antioqueños</t>
  </si>
  <si>
    <t>Junta Administradora Acueducto Los Antioqueños</t>
  </si>
  <si>
    <t>Vereda Los Naranjos</t>
  </si>
  <si>
    <t>Junta Administradora Acueducto Los Naranjos</t>
  </si>
  <si>
    <t>Junta Administradora Acueducto de La Manga</t>
  </si>
  <si>
    <t>Junta Administradora Acueducto El Retiro</t>
  </si>
  <si>
    <t>Vereda Cumbarrá</t>
  </si>
  <si>
    <t>Junta Administradora Acueducto de Cumbarrà</t>
  </si>
  <si>
    <t>Vereda La Curva</t>
  </si>
  <si>
    <t>Junta Administradora Acueducto de San Pascual-La Curva</t>
  </si>
  <si>
    <t>Vereda Morotó</t>
  </si>
  <si>
    <t>Junta Administradora Acueducto de Morotó</t>
  </si>
  <si>
    <t>Vereda Ciriguan</t>
  </si>
  <si>
    <t>Junta Administradora Acueducto de Ciriguan</t>
  </si>
  <si>
    <t>Corregimietno San Pascual</t>
  </si>
  <si>
    <t>Junta Administradora Acueducto de San Pascual-San Pascual</t>
  </si>
  <si>
    <t>Vereda Loma de la Alegría</t>
  </si>
  <si>
    <t>Junta Administradora Acueducto Loma de La Alegria</t>
  </si>
  <si>
    <t>Vereda Buenos aires-Parte Baja</t>
  </si>
  <si>
    <t>Junta Administradora Acueducto Buenos Aires-Parte Baja</t>
  </si>
  <si>
    <t>Vereda Caracolal</t>
  </si>
  <si>
    <t>Vereda Buenos Aires-Parte Alta</t>
  </si>
  <si>
    <t>Junta Administradora Acueducto Buenos Aires-Parte Alta</t>
  </si>
  <si>
    <t>Vereda Juan Gomez</t>
  </si>
  <si>
    <t>Junta Administradora Acueducto Juan Gomez</t>
  </si>
  <si>
    <t>Vereda El Madero</t>
  </si>
  <si>
    <t>Junta Administradora Acueducto El Madero</t>
  </si>
  <si>
    <t>Vereda La Unión</t>
  </si>
  <si>
    <t>Junta Administradora Acueducto Vereda La Unión</t>
  </si>
  <si>
    <t>Vereda Menbrillal</t>
  </si>
  <si>
    <t>Junta Administradora Acueducto de Membrillal</t>
  </si>
  <si>
    <t>Asociación de Usuarios Acueducto Multiveredal La Berrionda Cestillal-Guayabal</t>
  </si>
  <si>
    <t>Asociación de Usuarios Acueducto Multiveredal La Berrionda Cestillal San Miguel</t>
  </si>
  <si>
    <t>Vereda La Balsa</t>
  </si>
  <si>
    <t>Junta Administradora Acueducto Vereda La Balsa</t>
  </si>
  <si>
    <t>Barrio Los Balsos</t>
  </si>
  <si>
    <t>Junta Administradora Acueducto Barrio Los Balsos</t>
  </si>
  <si>
    <t>Vereda Imantago</t>
  </si>
  <si>
    <t>Junta Administradora Acueducto Imantago</t>
  </si>
  <si>
    <t>Vereda Rubicón</t>
  </si>
  <si>
    <t>Asociación de UsuariosAcueducto Multiveredal La Berrionda Cestillal-Rubicòn</t>
  </si>
  <si>
    <t>Junta Administradora Acueducto Vereda El Canelo</t>
  </si>
  <si>
    <t>Vereda El Canelito</t>
  </si>
  <si>
    <t>Junta Administradora Acueducto Vereda El Canelito</t>
  </si>
  <si>
    <t>Vereda Media Cuesta</t>
  </si>
  <si>
    <t>Asociación de UsuariosAcueducto Vereda Mediacuesta Cañasgordas</t>
  </si>
  <si>
    <t>Vereda Paso Arriba</t>
  </si>
  <si>
    <t>Junta Administradora Acueducto de Paso Arriba</t>
  </si>
  <si>
    <t>Vereda El Paso</t>
  </si>
  <si>
    <t>Junta Administradora Vereda El Paso</t>
  </si>
  <si>
    <t>Vereda Botija Arriba</t>
  </si>
  <si>
    <t xml:space="preserve">Asociación de Usuarios Acueducto Multiveredal La Berrionda Cestillal-Botija Arriba </t>
  </si>
  <si>
    <t>Vereda Botija Abajo</t>
  </si>
  <si>
    <t xml:space="preserve">Asociación de Usuarios Acueducto Multiveredal Cestillal-Botija Abajo </t>
  </si>
  <si>
    <t>Asociación de Usuarios Acueducto Multiveredal La Berrionda Cestillal-La Quiebra</t>
  </si>
  <si>
    <t>Vereda Santo Cristo</t>
  </si>
  <si>
    <t>Asociación de Usuarios Acueducto Multiveredal La Berrionda Cestillal-Santo Cristo</t>
  </si>
  <si>
    <t>Asociación de Usuarios Acueducto Multiveredal Cestillal-Naranjal</t>
  </si>
  <si>
    <t>Junta Administradora Acueducto La Aguada</t>
  </si>
  <si>
    <t>Vereda Apucarco</t>
  </si>
  <si>
    <t>Junta Administradora Acueducto Apucarco-Apucarco</t>
  </si>
  <si>
    <t>Asociación de Usuarios Acueducto Multiveredal La Cristalina-Bellavista</t>
  </si>
  <si>
    <t>Vereda Armenia</t>
  </si>
  <si>
    <t>Junta de Acción Comunal Vereda Armenia</t>
  </si>
  <si>
    <t>Vereda La Falda</t>
  </si>
  <si>
    <t>Junta de Acción Comunal Vereda La Falda</t>
  </si>
  <si>
    <t xml:space="preserve"> Vereda Carrá</t>
  </si>
  <si>
    <t>Junta de Acción Comunal Vereda Carrá</t>
  </si>
  <si>
    <t xml:space="preserve">Vereda  Lopia </t>
  </si>
  <si>
    <t>Junta de Acción Comunal Vereda  Lopia</t>
  </si>
  <si>
    <t xml:space="preserve">Vereda  Anta </t>
  </si>
  <si>
    <t>Vereda Dabeiba Viejo</t>
  </si>
  <si>
    <t>Vereda Pegado</t>
  </si>
  <si>
    <t>Junta de Acción Comunal Vereda Pegadó</t>
  </si>
  <si>
    <t>Vereda Llanogrande Chimiado</t>
  </si>
  <si>
    <t>Vereda Llano  de Cruces</t>
  </si>
  <si>
    <t>Junta de Acción Comunal Vereda Llano de Cruces</t>
  </si>
  <si>
    <t>Corregimiento Cruces de Urama</t>
  </si>
  <si>
    <t>Corregimiento San José de Urama</t>
  </si>
  <si>
    <t>Corremiento San Rafael</t>
  </si>
  <si>
    <t>Junta de Acción Comunal Corremiento San Rafael</t>
  </si>
  <si>
    <t>Vereda Chever</t>
  </si>
  <si>
    <t xml:space="preserve">Junta de Accion Comunal Vereda Chever  </t>
  </si>
  <si>
    <t>Vereda  Dabeiba Viejo(Indigena)</t>
  </si>
  <si>
    <t>Comunidad Indigena Dabeiba Viejo</t>
  </si>
  <si>
    <t>Vereda Culantrillales</t>
  </si>
  <si>
    <t>Junta de Accion Comunal Culantrillales</t>
  </si>
  <si>
    <t>Vereda Dabeiba viejo Coco Guayabito</t>
  </si>
  <si>
    <t>Junta de Acción Comunal Dabeiba Viejo-Coco Guayabito</t>
  </si>
  <si>
    <t>Vereda El Mohan</t>
  </si>
  <si>
    <t>Junata de Accion Comunal El Mohan</t>
  </si>
  <si>
    <t>Vereda Pueblecito</t>
  </si>
  <si>
    <t>Junta de Accion Comunal Pueblecito</t>
  </si>
  <si>
    <t>Vereda El Jordan</t>
  </si>
  <si>
    <t>Junata de Accion Comunal El Jordan</t>
  </si>
  <si>
    <t>Vereda El Tigre</t>
  </si>
  <si>
    <t>Junta de Accion comunal el tigre</t>
  </si>
  <si>
    <t>Vereda El Plancito</t>
  </si>
  <si>
    <t>Junta de Accion Comunal El Plancito</t>
  </si>
  <si>
    <t>Junta de Accion Comunal El Plan</t>
  </si>
  <si>
    <t>Vereda Betania</t>
  </si>
  <si>
    <t>Junta de Accion Comunal Betania- Puente Nuevo</t>
  </si>
  <si>
    <t>Junta de Accion Comunal Antado-El Rodeo</t>
  </si>
  <si>
    <t>Junta de Accion Comunal Los Naranjos</t>
  </si>
  <si>
    <t>Vereda Caracolon El Paraiso</t>
  </si>
  <si>
    <t>Junta de Accion Comunal Caracolon El Paraiso</t>
  </si>
  <si>
    <t>Corregimiento Sevilla</t>
  </si>
  <si>
    <t>Asociación de Suscriptores o Usuarios del Servicio de Acueducto del Corregimiento El Brasil-Sevilla</t>
  </si>
  <si>
    <t xml:space="preserve">Corregimiento Guayabal </t>
  </si>
  <si>
    <t>Asociación de Usuarios del Acueducto Multiveredal del Municipio de Ebejico-Guayabal</t>
  </si>
  <si>
    <t>Vereda Filo San Jose</t>
  </si>
  <si>
    <t>Asociación de Usuarios del Acueducto Multiveredal del Municipio de Ebejico-Filo San José</t>
  </si>
  <si>
    <t>Asociación de Usuarios del Acueducto Multiveredal del Municipio de Ebejico-La Quiebra</t>
  </si>
  <si>
    <t>Vereda Blanquizal</t>
  </si>
  <si>
    <t>Asociación de Usuarios del Acueducto Multiveredal del Municipio de Ebejico-Blanquizal</t>
  </si>
  <si>
    <t>Asociación de Usuarios del Acueducto Multiveredal del Municipio de Ebejico-Campo Alegre</t>
  </si>
  <si>
    <t>Asociación de Usuarios del Acueducto Multiveredal del Municipio de Ebejico-El Retiro</t>
  </si>
  <si>
    <t>Vereda Las Coles</t>
  </si>
  <si>
    <t>Asociación de Usuarios del Acueducto Multiveredal del Municipio de Ebejico-Alto de Las Coles</t>
  </si>
  <si>
    <t>Vereda Santander</t>
  </si>
  <si>
    <t>Asociación de Usuarios del Acueducto Multiveredal del Municipio de Ebejico-Santander</t>
  </si>
  <si>
    <t>Vereda La Renta</t>
  </si>
  <si>
    <t>Asociación de Usuarios del Acueducto Multiveredal del Municipio de Ebejico-La Renta</t>
  </si>
  <si>
    <t>Asociación de Suscriptores o Usuarios del Servicio de Acueducto del Corregimiento El Brasil-La Gramala</t>
  </si>
  <si>
    <t>Vereda Alto El Brasil</t>
  </si>
  <si>
    <t>Asociación de Suscriptores o Usuarios del Servicio de Acueducto del Corregimiento El Brasil-Alto El Brasil</t>
  </si>
  <si>
    <t>Vereda Falda de la Suiza</t>
  </si>
  <si>
    <t>Asociación de Suscriptores o Usuarios del Servicio de Acueducto del Corregimiento El Brasil-La Suiza</t>
  </si>
  <si>
    <t>Asociación de Suscriptores o Usuarios del Servicio de Acueducto del Corregimiento El Brasil-Los Pomos</t>
  </si>
  <si>
    <t>Vereda Saguá</t>
  </si>
  <si>
    <t>Asociación de Suscriptores o Usuarios del Servicio de Acueducto del Corregimiento El Brasil-Saguá</t>
  </si>
  <si>
    <t>Junta Administradora Acueducto La Esmeralda</t>
  </si>
  <si>
    <t>Corregimiento La Clara</t>
  </si>
  <si>
    <t>Asociación Usuarios Acueducto ASUCLARA-Corregimiento La Clara</t>
  </si>
  <si>
    <t>Vereda  Arenales</t>
  </si>
  <si>
    <t>Asociación Usuarios Acueducto ASUCLARA-Arenales</t>
  </si>
  <si>
    <t>Asociación Usuarios Acueducto ASUCLARA-Murrapal</t>
  </si>
  <si>
    <t>Vereda Llano Santa Barbara</t>
  </si>
  <si>
    <t>Asociación Usuarios Acueducto ASUCLARA-Llano Santa Barbara</t>
  </si>
  <si>
    <t>Junta Administradora Acueducto-El Socorro</t>
  </si>
  <si>
    <t>Vereda Chachafruto</t>
  </si>
  <si>
    <t xml:space="preserve">Junta Administradora Acueducto Chachafruto </t>
  </si>
  <si>
    <t>Vereda Fátima</t>
  </si>
  <si>
    <t>Junta Administradora Acueducto-Fátima</t>
  </si>
  <si>
    <t xml:space="preserve">Vereda Nariño </t>
  </si>
  <si>
    <t xml:space="preserve">Junta Administradora Acueducto-Nariño </t>
  </si>
  <si>
    <t>Vereda El Zarzal</t>
  </si>
  <si>
    <t>Junta Administradora del Servicio de Acueducto de La Vereda El Zarzal</t>
  </si>
  <si>
    <t>Vereda El Cedro</t>
  </si>
  <si>
    <t>Junta Administradora Acueducto El Cedro</t>
  </si>
  <si>
    <t>Vereda Comunidad</t>
  </si>
  <si>
    <t>Asociación de Usuarios Acueducto Vereda Comunidad</t>
  </si>
  <si>
    <t>Vereda Chachafrutal</t>
  </si>
  <si>
    <t>Asociación Usuarios Acueducto Multiveredal Tres Montañas Chachafrutal</t>
  </si>
  <si>
    <t xml:space="preserve">Vereda  El Bosque </t>
  </si>
  <si>
    <t>Asociación Usuarios Acueducto Multiveredal  Tres Montañas  El Bosque</t>
  </si>
  <si>
    <t>Vereda Quirimará Placitas</t>
  </si>
  <si>
    <t>Junta Administradora Acueducto Quimara-Placitas</t>
  </si>
  <si>
    <t>Vereda Quirimará Rodeo</t>
  </si>
  <si>
    <t>Junta Administradora Acueducto Quimara - Rodeo</t>
  </si>
  <si>
    <t>Vereda Filo de las Arboledas</t>
  </si>
  <si>
    <t>Junta Administradora Acueducto-Vereda Filo de las Arboledas</t>
  </si>
  <si>
    <t>Vereda Nobogá</t>
  </si>
  <si>
    <t>Junta Administradora de Acueducto Nobogá</t>
  </si>
  <si>
    <t>Vereda Cabritas</t>
  </si>
  <si>
    <t>Junta Administradora de Acueducto Cabritas</t>
  </si>
  <si>
    <t>Vereda  Madre Laura</t>
  </si>
  <si>
    <t>Junta de Accion Comunal Acueducto Multiveredal Piedras Blanquitas - Madre Laura</t>
  </si>
  <si>
    <t>Vereda Paso Ancho</t>
  </si>
  <si>
    <t>Junta de Accion Comunal Acueducto Multiveredal Piedras Blanquitas - Paso Ancho</t>
  </si>
  <si>
    <t xml:space="preserve">Junta de Accion Comunal Acueducto Multiveredal Piedras Blanquitas - El Paso </t>
  </si>
  <si>
    <t>Vereda Chuscal de Musinga</t>
  </si>
  <si>
    <t>Junta de Acción Comunal Acueducto Chuscal de Musinga</t>
  </si>
  <si>
    <t>Vereda Chontaduro</t>
  </si>
  <si>
    <t>Junta Administradora Multiveredal Chontaduro, La Quiebra-Chontaduro</t>
  </si>
  <si>
    <t>Vereda Nobogacita</t>
  </si>
  <si>
    <t>Junta Administradora Acueducto Nobogacita</t>
  </si>
  <si>
    <t>Vereda San Lázaro</t>
  </si>
  <si>
    <t>Junta de Acción Comunal Acueducto San Lázaro</t>
  </si>
  <si>
    <t>Junta Administradora de Acueducto Multiveredal Los Israeles - El Rayo</t>
  </si>
  <si>
    <t>Junta Administradora de Acueducto Multiveredal Los Israeles - Cabritas</t>
  </si>
  <si>
    <t>Vereda Loma de los Indios</t>
  </si>
  <si>
    <t>Junta Administradora de Acueducto Multiveredal Los Israeles - Loma de los Indios</t>
  </si>
  <si>
    <t>Vereda Las Cruces</t>
  </si>
  <si>
    <t>Junta Administradora Acueducto Las Cruces</t>
  </si>
  <si>
    <t>Vereda La Campiña</t>
  </si>
  <si>
    <t>Junta de Acción Comunal Acueducto La Campiña</t>
  </si>
  <si>
    <t>Vereda Los Monos</t>
  </si>
  <si>
    <t>Junta de Acción Comunal Vereda Los Monos</t>
  </si>
  <si>
    <t>Vereda Nutibara</t>
  </si>
  <si>
    <t>Cabildo Indigena Nusido Acueducto Nusido-Nutibara</t>
  </si>
  <si>
    <t>Vereda Nusido</t>
  </si>
  <si>
    <t>Cabildo Indigena Nusido Acueducto Nusido-Nusido</t>
  </si>
  <si>
    <t>Asociación de Usuarios Acueducto Multiveredal ASUACUM - La Honda</t>
  </si>
  <si>
    <t>Vereda El Chaquiro</t>
  </si>
  <si>
    <t>Asociación de Usuarios Acueducto Multiveredal ASUACUM - El Chaquiro</t>
  </si>
  <si>
    <t>Asociación de Usuarios Acueducto Multiveredal ASUACUM - La Primavera</t>
  </si>
  <si>
    <t>Vereda La Cañada Pontón</t>
  </si>
  <si>
    <t>Asociación de Usuarios Acueducto Multiveredal ASUACUM - La Cañada Pontón</t>
  </si>
  <si>
    <t>Asociación de Usuarios Acueducto Multiveredal ASUACUM - La Hondita</t>
  </si>
  <si>
    <t>Asociación de Usuarios Acueducto Multiveredal ASUACUM - La Herradura</t>
  </si>
  <si>
    <t>Vereda Alto de Frontino</t>
  </si>
  <si>
    <t>Asociación de Usuarios Acueducto Multiveredal ASUACUM - Alto de Frontino</t>
  </si>
  <si>
    <t>Vereda San Andrés</t>
  </si>
  <si>
    <t>Junta de Accion Comunal Acueducto Multiveredal San Andrés Murindó-San Andrés</t>
  </si>
  <si>
    <t>Vereda Murindó</t>
  </si>
  <si>
    <t>Junta de Accion Comunal Acueducto Multiveredal San Andrés Murindó-Murindó</t>
  </si>
  <si>
    <t>Vereda Blanquita</t>
  </si>
  <si>
    <t>Junta de Acción Comunal Acueducto La Blanquita</t>
  </si>
  <si>
    <t>Vereda Ponton</t>
  </si>
  <si>
    <t>Junta Administradora  Vereda Ponton</t>
  </si>
  <si>
    <t>Vereda Fuemia</t>
  </si>
  <si>
    <t>Junta de Acción Comunal Acueducto Fuemia</t>
  </si>
  <si>
    <t>Vereda Barrancas</t>
  </si>
  <si>
    <t>Junta de Acción Comunal Vereda  Barrancas</t>
  </si>
  <si>
    <t>Vereda Nore</t>
  </si>
  <si>
    <t>Junta de Acción Comunal Acueducto Nore</t>
  </si>
  <si>
    <t>Vereda Montañon</t>
  </si>
  <si>
    <t>Junta de Acción Comunal Acueducto Montañón</t>
  </si>
  <si>
    <t>Vereda Loma de Los Indios</t>
  </si>
  <si>
    <t>Junta de Acción Comunal Acueducto Loma de Los Indios</t>
  </si>
  <si>
    <t>Junta de Acción Comunal Vereda La Cabaña</t>
  </si>
  <si>
    <t>Vereda Llano de Musinga Tablaito</t>
  </si>
  <si>
    <t>Junta de Acción Comunal Acueducto Llano de Musinga CaseríoTablaito</t>
  </si>
  <si>
    <t>Junta de Acción Comunal El Cerro</t>
  </si>
  <si>
    <t>Vereda Llano de Musinga</t>
  </si>
  <si>
    <t>Junta de Acción Comunal Acueducto Llano de Musinga</t>
  </si>
  <si>
    <t>Vereda Las Cabras</t>
  </si>
  <si>
    <t>Junta de Acción Comunal Vereda Las Cabras</t>
  </si>
  <si>
    <t>Corregimiento Nutibara</t>
  </si>
  <si>
    <t>Empresa de Servicios Publicos de Frontino E.S.P. Corregimiento Nutibara</t>
  </si>
  <si>
    <t>Vereda La Sierrita</t>
  </si>
  <si>
    <t>Junta de Accion Comunal La Sierrita-La Sierrita</t>
  </si>
  <si>
    <t>Vereda El Puente</t>
  </si>
  <si>
    <t>Junta de Accion Comunal Cuajaron-Sector El Puente</t>
  </si>
  <si>
    <t>Vereda Quiebritas</t>
  </si>
  <si>
    <t>Junta de Accion Comunal Cuajaron-Sector Quiebritas</t>
  </si>
  <si>
    <t>Vereda Escuela</t>
  </si>
  <si>
    <t>Junta de Accion Comunal Cuajaron-La Escuela</t>
  </si>
  <si>
    <t>Vereda  Filo Del Medio</t>
  </si>
  <si>
    <t>Junta de Accion Comunal Filo del Medio</t>
  </si>
  <si>
    <t>Vereda El Roblar</t>
  </si>
  <si>
    <t>Junta de Accion Comunal El Roblal</t>
  </si>
  <si>
    <t>Vereda El Aguila</t>
  </si>
  <si>
    <t>Junta de Accion Comunal El Aguila</t>
  </si>
  <si>
    <t>Junta de Accion Comunal La Sierra</t>
  </si>
  <si>
    <t>Junta de Accion Comunal El Tambo- El Tambo</t>
  </si>
  <si>
    <t>Sector La Trampa</t>
  </si>
  <si>
    <t>Junta de Accion Comunal El Tambo-Sector La Trampa</t>
  </si>
  <si>
    <t>Vereda Toyo Parte Alta</t>
  </si>
  <si>
    <t>Junta de Accion Comunal Toyo-Parte Alta</t>
  </si>
  <si>
    <t>Vereda El Limo</t>
  </si>
  <si>
    <t>Junta de Accion Comunal El Limo</t>
  </si>
  <si>
    <t>Junta de Accion Comunal El Balso</t>
  </si>
  <si>
    <t>Corregimiento Pinguro</t>
  </si>
  <si>
    <t>Junta de Accion Comunal Corregimiento Pinguro</t>
  </si>
  <si>
    <t>Vereda Tinajitas</t>
  </si>
  <si>
    <t>Junta de Accion Comunal Tinajitas</t>
  </si>
  <si>
    <t>Vereda La Cienaga</t>
  </si>
  <si>
    <t>Junta de Accion Comunal La Cienaga-La Cienaga</t>
  </si>
  <si>
    <t>Vereda La Bonanza</t>
  </si>
  <si>
    <t>Junta de Accion Comunal La Cienaga-La Bonanza</t>
  </si>
  <si>
    <t>Vereda La Planta</t>
  </si>
  <si>
    <t>Junta de Accion Comunal La Planta</t>
  </si>
  <si>
    <t xml:space="preserve">Corregimiento Manglar </t>
  </si>
  <si>
    <t>Asociación de Usuarios de Acuedcuto y Alcantarillado del Corregimiento Manglar</t>
  </si>
  <si>
    <t>Vereda la Cienaga Uruta</t>
  </si>
  <si>
    <t xml:space="preserve"> Junta de Accion Comunal la Cienaga Uruta</t>
  </si>
  <si>
    <t>Vereda Ceferino</t>
  </si>
  <si>
    <t>Acueducto Ceferino</t>
  </si>
  <si>
    <t>Corregimiento Alto del Corral</t>
  </si>
  <si>
    <t>Asociación de Usuarios del Acueducto Multiveredal del Corregimiento "Alto del Corral"</t>
  </si>
  <si>
    <t>Corregimiento Pueblito</t>
  </si>
  <si>
    <t>Junta Administradora del Acueducto Corregimiento Pueblito</t>
  </si>
  <si>
    <t xml:space="preserve">Vereda Palo Blanco </t>
  </si>
  <si>
    <t>Asociación de Usuarios del Acueducto Multiveredal Tres Montañas-Paloblanco</t>
  </si>
  <si>
    <t>Asociación de Usuarios del Acueducto Multiveredal Tres Montañas-La Pradrea</t>
  </si>
  <si>
    <t>Asociación de Usuarios del Acueducto Multiveredal Tres Montañas-Chachafruto</t>
  </si>
  <si>
    <t>Asociación de Usuarios del Acueducto Multiveredal Tres Montañas-Los Naranjos</t>
  </si>
  <si>
    <t xml:space="preserve">Vereda La Pava </t>
  </si>
  <si>
    <t>Acueducto La Pava</t>
  </si>
  <si>
    <t>Asociación de Usuarios del Acueducto Multiveredal Tres Montañas-Guayabal</t>
  </si>
  <si>
    <t xml:space="preserve"> Corregimiento Llano de San Jose</t>
  </si>
  <si>
    <t>Junta Administradora del Acueducto Corregimiento Llano de San Jose</t>
  </si>
  <si>
    <t>Vereda El Chocho</t>
  </si>
  <si>
    <t>Junta Administradora Vereda El Chocho</t>
  </si>
  <si>
    <t>Vereda Los Botes</t>
  </si>
  <si>
    <t>Acueducto Los Botes</t>
  </si>
  <si>
    <t>Vereda Las Estancias</t>
  </si>
  <si>
    <t>Junta de Accion Comunal Ventiadero Las Estancias</t>
  </si>
  <si>
    <t>Vereda Los Granadillos</t>
  </si>
  <si>
    <t>Junta  de Acción Comunal Los Granadillos</t>
  </si>
  <si>
    <t>Corregimiento La Merced del Playón</t>
  </si>
  <si>
    <t>Corregimiento San Diego</t>
  </si>
  <si>
    <t>Corregimiento El Carmen de La Venta</t>
  </si>
  <si>
    <t>Junta de Administradora de Acueducto La Venta</t>
  </si>
  <si>
    <t>Corregimiento Honda</t>
  </si>
  <si>
    <t>Junta Administradora Acueducto La Honda</t>
  </si>
  <si>
    <t>Vereda La Hacienda</t>
  </si>
  <si>
    <t>Vereda Malvazá</t>
  </si>
  <si>
    <t>Junta Administradora Acueducto San Miguel</t>
  </si>
  <si>
    <t>Vereda Los Recuerdos</t>
  </si>
  <si>
    <t>Junta de Acción Comunal Vereda Los Recuerdos</t>
  </si>
  <si>
    <t>Vereda Los Peñoles</t>
  </si>
  <si>
    <t>Junta Administradora Acueducto Multiveredal Peñoles, Ceja, La Palma -Los Peñoles</t>
  </si>
  <si>
    <t>Junta Administradora Acueducto Multiveredal Peñoles, Ceja, La Palma -La Palma</t>
  </si>
  <si>
    <t>Vereda La Ceja</t>
  </si>
  <si>
    <t xml:space="preserve">Junta Administradora Acueducto Multiveredal Peñoles, Ceja, La Palma-La Ceja </t>
  </si>
  <si>
    <t>Vereda Provincial</t>
  </si>
  <si>
    <t>Junta Administradora Acueducto Vereda Provincial-Provincial</t>
  </si>
  <si>
    <t>Junta Administradora Acueducto Vereda Montañita</t>
  </si>
  <si>
    <t xml:space="preserve">Junta de Acción Comunal Vereda El Morro </t>
  </si>
  <si>
    <t>Vereda La Hondura</t>
  </si>
  <si>
    <t>Junta de Accion comunal Vereda Las Abejas-La Hondura</t>
  </si>
  <si>
    <t>Vereda Porvenir</t>
  </si>
  <si>
    <t>Junta  Acción Comunal Vereda Porvenir</t>
  </si>
  <si>
    <t>Junta de Accion Comunal El Socorro</t>
  </si>
  <si>
    <t>Vereda Montenegro</t>
  </si>
  <si>
    <t>Junta  Administradora Acueducto Montenegro</t>
  </si>
  <si>
    <t>Vereda Los Ensenillos</t>
  </si>
  <si>
    <t>Junta de Acción Comunal Vereda Los Ensenillos</t>
  </si>
  <si>
    <t>Vereda El Guamal</t>
  </si>
  <si>
    <t xml:space="preserve">Junta de Accion Comunal El Guamal </t>
  </si>
  <si>
    <t>Vereda Rodas</t>
  </si>
  <si>
    <t>Junta de Accion Comunal Rodas</t>
  </si>
  <si>
    <t>Vereda San Pascual</t>
  </si>
  <si>
    <t>Junta de Administrado de Acueducto San Pascual-San Pascual</t>
  </si>
  <si>
    <t>Vereda Curiti</t>
  </si>
  <si>
    <t xml:space="preserve">Asociación de Usuarios del Acueducto Curiti Guamal-Curiti </t>
  </si>
  <si>
    <t>Vereda Sobresabanas</t>
  </si>
  <si>
    <t>Junta  Administradora Acueducto Sobresabanas</t>
  </si>
  <si>
    <t>Junta de Accion Comunal La Florida</t>
  </si>
  <si>
    <t>Vereda El Peregrino</t>
  </si>
  <si>
    <t>Junta  Acción Comunal Vereda Peregrino</t>
  </si>
  <si>
    <t>Junta  Acción Comunal Vereda Barrio Nuevo</t>
  </si>
  <si>
    <t>Vereda Cristobal</t>
  </si>
  <si>
    <t>Junta  Administradora Acueducto Cristobal</t>
  </si>
  <si>
    <t>Vereda Las Abejas</t>
  </si>
  <si>
    <t>Junta de Accion comunal Vereda Las Abejas-Las Abejas</t>
  </si>
  <si>
    <t xml:space="preserve">Olaya </t>
  </si>
  <si>
    <t>Junta  de Accion Comunal La Playa</t>
  </si>
  <si>
    <t>Asociación de Usuarios y Suscriptores del Acueducto de Llanadas ACUALLAN-Llanadas</t>
  </si>
  <si>
    <t>Vereda Pencal</t>
  </si>
  <si>
    <t>Junta de Accion Comunal Pencal</t>
  </si>
  <si>
    <t>Vereda Quebrada Seca</t>
  </si>
  <si>
    <t>Unidad de Servicios Públicos Domiciliarios-Quebrada Seca</t>
  </si>
  <si>
    <t>Vereda Piñones</t>
  </si>
  <si>
    <t>ASOPIÑONES-Vereda Piñones</t>
  </si>
  <si>
    <t>Corregimiento Sucre</t>
  </si>
  <si>
    <t>Aguas Regionales EPM S.A. E.S.P-Sucre</t>
  </si>
  <si>
    <t>Vereda Guayabo</t>
  </si>
  <si>
    <t>Junta  de Accion Comunal Guayabo</t>
  </si>
  <si>
    <t>Vereda Las Lomas</t>
  </si>
  <si>
    <t>Vereda Los Naipes</t>
  </si>
  <si>
    <t>Vereda San Julian de Barbacoas</t>
  </si>
  <si>
    <t>Vereda La Loma Del Sauce</t>
  </si>
  <si>
    <t>Vereda El Agrio</t>
  </si>
  <si>
    <t>Vereda Barbacoas</t>
  </si>
  <si>
    <t>Corregimiento Los Llanos</t>
  </si>
  <si>
    <t xml:space="preserve">Vereda Las Faldas </t>
  </si>
  <si>
    <t>Vereda Las Faldas Del Café</t>
  </si>
  <si>
    <t>Vereda El Filo</t>
  </si>
  <si>
    <t>Vereda La Antigua</t>
  </si>
  <si>
    <t>Vereda El Páramo</t>
  </si>
  <si>
    <t>Vereda Llano Del Pueblo</t>
  </si>
  <si>
    <t>Vereda Italia 90</t>
  </si>
  <si>
    <t>Vereda Pojonal</t>
  </si>
  <si>
    <t>Vereda Guayabal La Falda</t>
  </si>
  <si>
    <t>Vereda Popal</t>
  </si>
  <si>
    <t>Vereda La Guadua</t>
  </si>
  <si>
    <t>Vereda Santa Agueda</t>
  </si>
  <si>
    <t>Vereda Renegado Valle</t>
  </si>
  <si>
    <t>Vereda  Guayabal de Pená</t>
  </si>
  <si>
    <t>Corregimiento de Lomitas</t>
  </si>
  <si>
    <t>Vereda San Juan de Renegado</t>
  </si>
  <si>
    <t>Corregimiento La Vega del Inglés</t>
  </si>
  <si>
    <t>Vereda  La Nueva Llanada</t>
  </si>
  <si>
    <t>Vereda El Junco</t>
  </si>
  <si>
    <t>Asociación de Usuarios del Acueducto Rural de La Vereda El Junco</t>
  </si>
  <si>
    <t>Corregimiento El Oro</t>
  </si>
  <si>
    <t>Junta de Acción Comunal Corregimiento El Oro</t>
  </si>
  <si>
    <t>Vereda El Tesorero</t>
  </si>
  <si>
    <t>Junta Administradora del Acueducto-Tesorero</t>
  </si>
  <si>
    <t>Junta Administradora del Acueducto del Socorro</t>
  </si>
  <si>
    <t>Junta Administradora del Acueducto del Madero</t>
  </si>
  <si>
    <t>Vereda La Pedrona</t>
  </si>
  <si>
    <t>Junta Administradora Acueducto de La Pedrona</t>
  </si>
  <si>
    <t>Junta de Acción Comunal del Acueducto El Tambo</t>
  </si>
  <si>
    <t>Junta de Acción Comunal Vereda El Encanto</t>
  </si>
  <si>
    <t>Vereda Llano de los Encuentros</t>
  </si>
  <si>
    <t>Junta de Acción Comunal Llano de Los Encuentros</t>
  </si>
  <si>
    <t>Vereda San Cristobal Pená</t>
  </si>
  <si>
    <t>Junta de Acción Comunal Vereda San Cristobal Pená</t>
  </si>
  <si>
    <t>Vereda La Ermita</t>
  </si>
  <si>
    <t>Junta Administradora Acueducto La Ermita</t>
  </si>
  <si>
    <t>Vereda Niquia</t>
  </si>
  <si>
    <t>Junta de Acción Comunal Vereda Niquia</t>
  </si>
  <si>
    <t>Junta Administradora Acueducto La Ceja</t>
  </si>
  <si>
    <t>Junta Administradora Acueducto de Buenos Aires</t>
  </si>
  <si>
    <t>Vereda Tesorerito</t>
  </si>
  <si>
    <t>Junta de Acción Comunal Vereda Tesorerito</t>
  </si>
  <si>
    <t>Vereda Llano del Oro</t>
  </si>
  <si>
    <t>Junta de Acción Comunal Vereda Llano del Oro</t>
  </si>
  <si>
    <t>Junta de Acción Comunal Vereda La Aurora</t>
  </si>
  <si>
    <t>Vereda Los Tendidos</t>
  </si>
  <si>
    <t>Junta de Acción Comunal Vereda Los Tendidos</t>
  </si>
  <si>
    <t>Vereda Machado</t>
  </si>
  <si>
    <t>Junta de Acción Comunal Vereda Machado</t>
  </si>
  <si>
    <t>Vereda Macanal</t>
  </si>
  <si>
    <t>Junta Administradora Acueducto Vereda Macanal</t>
  </si>
  <si>
    <t>Vereda Membrillal</t>
  </si>
  <si>
    <t>Junta de Acción Copmunal Vereda Membrillal</t>
  </si>
  <si>
    <t>Vereda El Placer</t>
  </si>
  <si>
    <t>Junta de Acción Comunal Vereda El Placer</t>
  </si>
  <si>
    <t>Junta de Acción Comunal Vereda La Meseta</t>
  </si>
  <si>
    <t>Junta Administradora del Acueducto La Loma</t>
  </si>
  <si>
    <t>Vereda Filo de Los Pérez</t>
  </si>
  <si>
    <t>Junta de Acción Comunal Vereda El Filo de Los Perez</t>
  </si>
  <si>
    <t>Vereda El Clavel</t>
  </si>
  <si>
    <t>Junta de Acción Comunal del Acueducto-El Clavel</t>
  </si>
  <si>
    <t>Vereda Veliguarin</t>
  </si>
  <si>
    <t>Corporacion Veliguarin</t>
  </si>
  <si>
    <t>Vereda El Chocho Parte Baja</t>
  </si>
  <si>
    <t>Asociación de Usuarios del Acueducto Los Cedros-El Chocho Parte Baja</t>
  </si>
  <si>
    <t>Asociación de Usuarios del Acueducto Buenos Aires</t>
  </si>
  <si>
    <t>Vereda Alto Colorado</t>
  </si>
  <si>
    <t xml:space="preserve">Asociación de  Suscriptores o Usuarios del Acueducto de La Vereda Alto Colorado </t>
  </si>
  <si>
    <t>Vereda  El Calvario</t>
  </si>
  <si>
    <t xml:space="preserve">Asociación de  Suscriptores o Usuarios del Acueducto de La Vereda El Calvario </t>
  </si>
  <si>
    <t>Asociación de Usuarios del Acueducto  La Cienaga</t>
  </si>
  <si>
    <t>Junta de Accion Comunal Vereda Cabuyal</t>
  </si>
  <si>
    <t xml:space="preserve">Vereda Llano Arriba </t>
  </si>
  <si>
    <t>Acueducto Llano Arriba</t>
  </si>
  <si>
    <t>Vereda Sector San Vicente</t>
  </si>
  <si>
    <t xml:space="preserve">Asociación de Usuarios del Acueducto del Barrio San Vicente </t>
  </si>
  <si>
    <t>Vereda Espiritu Santo</t>
  </si>
  <si>
    <t>Asociación de  Suscriptores o Usuarios del Acueducto Poleal Espiritu Santo</t>
  </si>
  <si>
    <t>Vereda Matazano</t>
  </si>
  <si>
    <t xml:space="preserve">Asociación de  Suscriptores o Usuarios  del Acueducto de La Vereda Matazano </t>
  </si>
  <si>
    <t>Vereda Loma Hermosa</t>
  </si>
  <si>
    <t>Asociación de  Suscriptores o Usuarios del Acueducto de La Vereda Pesquinal- Loma Hermosa</t>
  </si>
  <si>
    <t>Vereda El Mestizo</t>
  </si>
  <si>
    <t xml:space="preserve">Asociación de  Suscriptores o Usuariosdel Acueducto de La Vereda El Mestizo </t>
  </si>
  <si>
    <t xml:space="preserve">Asociación de  Usuarios del  de La Vereda Montefrio </t>
  </si>
  <si>
    <t>Vereda El Pomar</t>
  </si>
  <si>
    <t xml:space="preserve">Asociación de  Usuarios del  Acueducto El Pomar </t>
  </si>
  <si>
    <t>Vereda Aguas Poleal</t>
  </si>
  <si>
    <t>Aguas de Poleal</t>
  </si>
  <si>
    <t>Vereda Llano de San Juan</t>
  </si>
  <si>
    <t>Corporacion  Llano de San Juan</t>
  </si>
  <si>
    <t>Vereda  Llano de Aguirre</t>
  </si>
  <si>
    <t>Asociación de  Usuarios del Acueducto de La Vereda Llano de Aguirre</t>
  </si>
  <si>
    <t>Vereda La Palma Parte Baja</t>
  </si>
  <si>
    <t>Asociación de  Usuarios del Acueducto de La Vereda La Palma Parte Baja</t>
  </si>
  <si>
    <t>Vereda La Palma Parte Alta</t>
  </si>
  <si>
    <t>Asociación de  Usuarios del Acueducto de La Vereda La Palma Parte Alta</t>
  </si>
  <si>
    <t>Vereda  Piedra Negra</t>
  </si>
  <si>
    <t>Asociación de  Usuarios del Acueducto Piedra Negra</t>
  </si>
  <si>
    <t>Vereda Qimbayo</t>
  </si>
  <si>
    <t>Asociación de Usuarios del Acueducto de la Vereda Alticos -Quimbayo</t>
  </si>
  <si>
    <t>Vereda Guayabos</t>
  </si>
  <si>
    <t>Acueducto San Francisco</t>
  </si>
  <si>
    <t>Asociación de Usuarios del Acueducto de la Vereda Tafetanes</t>
  </si>
  <si>
    <t>Vereda Mestizal</t>
  </si>
  <si>
    <t>Asociación de Usuarios del Acueducto de la Vereda Mestizal</t>
  </si>
  <si>
    <t xml:space="preserve">Vereda Estancias </t>
  </si>
  <si>
    <t>Asociación de Usuarios del Acueducto de la Vereda Estancias</t>
  </si>
  <si>
    <t>Vereda Cenegueta</t>
  </si>
  <si>
    <t>Asociación de Usuarios del Acueducto de la Vereda Cenegueta</t>
  </si>
  <si>
    <t>Vereda Pie de Cuesta</t>
  </si>
  <si>
    <t>Asociación de Usuarios del Acueducto de la Vereda  Pie de Cuesta</t>
  </si>
  <si>
    <t>Santafe de Antioquia</t>
  </si>
  <si>
    <t>Asociación de Usuarios Acueducto El Plan-Vereda El Plan</t>
  </si>
  <si>
    <t>Vereda El Rodeo</t>
  </si>
  <si>
    <t>Asociación de Usuarios Acueducto Rural Vereda El Rodeo</t>
  </si>
  <si>
    <t>Vereda Yerbabuenal</t>
  </si>
  <si>
    <t>Asociación de Suscriptores Acueducto Yerbabuenal Centro-Vereda Yerbabuenal</t>
  </si>
  <si>
    <t>Asociación de Usuarios del Acueducto de La Vereda El Filo</t>
  </si>
  <si>
    <t>Asociación de Usuarios Acueducto La Aldea-Vereda La Aldea</t>
  </si>
  <si>
    <t>Corregimiento  Socorro Sabanas</t>
  </si>
  <si>
    <t>Junta de Acción Comunal Sabanas-Corregimiento Sabanas</t>
  </si>
  <si>
    <t xml:space="preserve">VeredaKilometro Dos </t>
  </si>
  <si>
    <t>Junta de Acción Comunal Vereda Km 2</t>
  </si>
  <si>
    <t xml:space="preserve">Vereda Kilometro Dos </t>
  </si>
  <si>
    <t>Aguas Regionales EPM S.A. E.S.P-Vereda Km 2</t>
  </si>
  <si>
    <t>Aguas Regionales EPM S.A. E.S.P-Vereda El Tunal</t>
  </si>
  <si>
    <t>Corregimiento Tonusco Arriba</t>
  </si>
  <si>
    <t>Junta Administradora de Acueducto-Corregimiento Tonusco Arriba</t>
  </si>
  <si>
    <t>Corregimiento Tonusco La Aguada</t>
  </si>
  <si>
    <t>Junta Administradora de Acueducto-Corregimiento Tonusco La Aguada</t>
  </si>
  <si>
    <t>Vereda El Chorrillo</t>
  </si>
  <si>
    <t>Junta de Acción Comunal Vereda El Chorrillo</t>
  </si>
  <si>
    <t>Junta Administradora de Acueducto Vereda La Milagrosa</t>
  </si>
  <si>
    <t>Vereda Las Coloradas</t>
  </si>
  <si>
    <t>Junta de Acción Comunal Vereda Las Coloradas</t>
  </si>
  <si>
    <t>Junta de Acción Comunal Vereda Fátima</t>
  </si>
  <si>
    <t>Vereda El Carmen</t>
  </si>
  <si>
    <t>Junta de Acción Comunal Vereda El Carmen</t>
  </si>
  <si>
    <t>Vereda San Carlos</t>
  </si>
  <si>
    <t>Asociación de Usuarios Acueducto Chuscales Loma Larga-Vereda San Carlos</t>
  </si>
  <si>
    <t>Vereda El Churimbo</t>
  </si>
  <si>
    <t>Junta de Acción Comunal Churimbo-Vereda Churimbo</t>
  </si>
  <si>
    <t>Corregimiento Cativo</t>
  </si>
  <si>
    <t>Asociación de Usuarios del Acueducto del Corregimiento de Cativo.</t>
  </si>
  <si>
    <t>Asociación de Usuarios Acueducto Chuscales Loma Larga-Vereda Chaparral</t>
  </si>
  <si>
    <t>Vereda La Mariana</t>
  </si>
  <si>
    <t>Asociación de Usuarios Acueducto Chuscales Loma Larga-Vereda La Mariana</t>
  </si>
  <si>
    <t>Junta de Acción Comunal Vereda San Antonio</t>
  </si>
  <si>
    <t>Vereda Coloradas</t>
  </si>
  <si>
    <t>Asociación de Usuarios Acueducto Chuscales Loma Larga-Vereda Las Coloradas</t>
  </si>
  <si>
    <t>Corregimiento El Pescado</t>
  </si>
  <si>
    <t>Junta de Acción Comunal El Pescado-Corregimiento El Pescado</t>
  </si>
  <si>
    <t>Vereda la Mesa</t>
  </si>
  <si>
    <t>Acueducto Multiveredal  La Tolda Vereda La Mesa</t>
  </si>
  <si>
    <t>Vereda La Tolda</t>
  </si>
  <si>
    <t>Acueducto Multiveredal  La Tolda Vereda La Tolda</t>
  </si>
  <si>
    <t>Corregimiento Laureles</t>
  </si>
  <si>
    <t>Junta Administradora Acueducto Corregimiento Laureles</t>
  </si>
  <si>
    <t>Vereda Moraditas</t>
  </si>
  <si>
    <t xml:space="preserve">Asociación de Usuarios Acueducto Moraditas-Vereda Moraditas </t>
  </si>
  <si>
    <t>Vereda Moraditas Alta</t>
  </si>
  <si>
    <t>Asociación de Usuarios Acueducto Moraditas-Vereda Moraditas Alta</t>
  </si>
  <si>
    <t>Corregimiento Nurqui</t>
  </si>
  <si>
    <t>Asociación de Usuarios Acueducto Chuscales Loma Larga-Vereda Nurqui</t>
  </si>
  <si>
    <t>Asociación de Usuarios del Acueducto de La Vereda El "Madero"</t>
  </si>
  <si>
    <t>Vereda El Espinal</t>
  </si>
  <si>
    <t>Aguas Regionales EPM S.A. E.S.P-Vereda El Espinal</t>
  </si>
  <si>
    <t>Vereda La Noque</t>
  </si>
  <si>
    <t>Aguas Regionales EPM S.A. E.S.P-Vereda La Noque</t>
  </si>
  <si>
    <t>Aguas Regionales EPM S.A. E.S.P-Vereda El Paso</t>
  </si>
  <si>
    <t>Vereda Obregon</t>
  </si>
  <si>
    <t>Aguas Regionales EPM S.A. E.S.P-Vereda Obregon</t>
  </si>
  <si>
    <t>Vereda El Pedregal</t>
  </si>
  <si>
    <t>Junta de Acción Comunal El Pedregal-Vereda El Pedregal</t>
  </si>
  <si>
    <t xml:space="preserve">Sopetran </t>
  </si>
  <si>
    <t>Corregimiento Horizontes</t>
  </si>
  <si>
    <t>Asociación de Suscriptores o Usuarios del Acueducto Corregimiento de Horizontes Municipio de Sopetran Entidad Sin Animo de Lucro</t>
  </si>
  <si>
    <t xml:space="preserve">Acueducto Rural El Rayo </t>
  </si>
  <si>
    <t>Vereda Loma del Medio</t>
  </si>
  <si>
    <t>Asociación de Suscriptores o Usuarios del Acueducto Loma del Medio</t>
  </si>
  <si>
    <t>Corregimiento Nuevo Horizontes</t>
  </si>
  <si>
    <t>Asociación de Usuarios del Acueducto de Santa Barbara Corregimiento Nuevo Horizontes</t>
  </si>
  <si>
    <t>Vereda Pomar -Santa Rita</t>
  </si>
  <si>
    <t>Asociación de Suscriptores o Usuarios del Acueducto de Las Veredas Pomar-Santa Rita</t>
  </si>
  <si>
    <t>Vereda Palogrande</t>
  </si>
  <si>
    <t>Junta Administradora Acueducto Vereda Palo Grande</t>
  </si>
  <si>
    <t>Vereda Alta  La Miranda</t>
  </si>
  <si>
    <t xml:space="preserve">Junta Administradora Acueducto Veredal manantial de la ayuna vereda Alta La Miranda </t>
  </si>
  <si>
    <t>Vereda Cordoba</t>
  </si>
  <si>
    <t>Junta Administradora Acueducto Cordoba</t>
  </si>
  <si>
    <t>Corregimiento San Nicolás de Bary</t>
  </si>
  <si>
    <t xml:space="preserve">Junta Administradora de Acueducto Corregimiento San Nicolás de Bary </t>
  </si>
  <si>
    <t>Vereda Ciruelar</t>
  </si>
  <si>
    <t>Junta Administradora Acueducto Vereda El Ciruelar</t>
  </si>
  <si>
    <t>Vereda Montegrande</t>
  </si>
  <si>
    <t>Junta Administradora del Acueducto Guataqui Montegrande</t>
  </si>
  <si>
    <t>Vereda La Aguada Montegrande</t>
  </si>
  <si>
    <t>Asociación de Usuarios del Acueducto El Pedrero La Aguada Montegrande</t>
  </si>
  <si>
    <t xml:space="preserve">Junta Adminstradora Acueducto Vereda Morron </t>
  </si>
  <si>
    <t xml:space="preserve">Vereda Los Pomos Guayabal </t>
  </si>
  <si>
    <t xml:space="preserve">Acueducto Rural Pomos Guayabal </t>
  </si>
  <si>
    <t>Vereda La Puerta</t>
  </si>
  <si>
    <t>Junta Administradora Acueducto veredal la cangrejo S.A.E.S.P</t>
  </si>
  <si>
    <t xml:space="preserve">Vereda Juntas </t>
  </si>
  <si>
    <t xml:space="preserve">Junta Administradora Acueducto Vereda Juntas </t>
  </si>
  <si>
    <t xml:space="preserve">Vereda  palenque </t>
  </si>
  <si>
    <t xml:space="preserve">Asociación de Usuarios del Acueducto  ACUAPALENQUE Vereda Fuentes del Alto Grande </t>
  </si>
  <si>
    <t>Vereda Montires</t>
  </si>
  <si>
    <t xml:space="preserve">Junta Administradora Acueducto Vereda Montires </t>
  </si>
  <si>
    <t>Aguas Regionales E.P.M. S.A. E.S.P-Vereda El Rodeo Sabanazo -El Rodeo</t>
  </si>
  <si>
    <t>Vereda Guaymaral</t>
  </si>
  <si>
    <t xml:space="preserve">Acueducto La Vid S.A.E.S.P </t>
  </si>
  <si>
    <t>Vereda Juntas Fuente La Sucia</t>
  </si>
  <si>
    <t>Aguas de San Nicolas S.A. E.S.P.</t>
  </si>
  <si>
    <t xml:space="preserve">La Miranda </t>
  </si>
  <si>
    <t xml:space="preserve">Junta Administradora del Acueducto de La Vereda Aguas Claras- LLano de  Miranda </t>
  </si>
  <si>
    <t>Aguas Regionales E.P.M. S.A. E.S.P-Vereda Tafetnaes</t>
  </si>
  <si>
    <t>Vereda Llano de Montaña</t>
  </si>
  <si>
    <t>Aguas Regionales E.P.M. S.A. E.S.P-Vereda El Llano de Montaña</t>
  </si>
  <si>
    <t>Vereda Otrabanda</t>
  </si>
  <si>
    <t>Aguas Regionales E.P.M. S.A. E.S.P-Vereda La otra Banda</t>
  </si>
  <si>
    <t>Vereda Guaymarala</t>
  </si>
  <si>
    <t>Junta Administradora Acueducto Vereda Guaymarala</t>
  </si>
  <si>
    <t xml:space="preserve">Uramita </t>
  </si>
  <si>
    <t>Alto del Pital</t>
  </si>
  <si>
    <t>Junta de Acción Comunal Acueducto Alto del Pital</t>
  </si>
  <si>
    <t>Vereda Ambalema</t>
  </si>
  <si>
    <t>Junta de Acción Comunal Acueducto Ambalema</t>
  </si>
  <si>
    <t>Vereda El Oso</t>
  </si>
  <si>
    <t>Junta de Acción Comunal Acueducto El Oso</t>
  </si>
  <si>
    <t>Vereda El Llano</t>
  </si>
  <si>
    <t>Junta de Accion Comunal Vereda El Llano</t>
  </si>
  <si>
    <t>Junta de Accion Comunal Vereda El Madero</t>
  </si>
  <si>
    <t>Junta de Accion Comunal de La Vereda El Retiro</t>
  </si>
  <si>
    <t>Junta de Accion Comunal Acueducto de La Vereda La Cumbre</t>
  </si>
  <si>
    <t>Junta de Accion Comunal Acueducto Vereda Murrapal</t>
  </si>
  <si>
    <t>Vereda Iracal</t>
  </si>
  <si>
    <t>Junta de Accion Comunal Vereda Iracal</t>
  </si>
  <si>
    <t>Vereda Monos</t>
  </si>
  <si>
    <t>Junta de Accion Comunal Acueducto Vereda Monos</t>
  </si>
  <si>
    <t>Fuera de servicio</t>
  </si>
  <si>
    <t>Junta de Accion Comunal de La Palma</t>
  </si>
  <si>
    <t>Junta Administadora  Acueducto Vereda La Meseta</t>
  </si>
  <si>
    <t>Vereda Palon</t>
  </si>
  <si>
    <t>Junta Administadora  Acueducto Vereda El Palon</t>
  </si>
  <si>
    <t>Vereda Limon Cabuyal</t>
  </si>
  <si>
    <t>Junta Administadora  Acueducto Vereda Limon Cabuyal</t>
  </si>
  <si>
    <t>Vereda Encalichada</t>
  </si>
  <si>
    <t>Junta de Accion Comunal La Encalichada</t>
  </si>
  <si>
    <t>Junta de Accion Comunal El Pital</t>
  </si>
  <si>
    <t>Vereda Caunce</t>
  </si>
  <si>
    <t>Junta de Accion Comunal Vereda El Caunce</t>
  </si>
  <si>
    <t>Aguas  Regionales  EPM S.A  E.S.P.-Corregimiento El Reposo</t>
  </si>
  <si>
    <t>Acueducto Naranjales</t>
  </si>
  <si>
    <t>Acueducto  Vijagual</t>
  </si>
  <si>
    <t>Acueducto  San Pablo</t>
  </si>
  <si>
    <t>Optima de Uraba-Los Mandarinos</t>
  </si>
  <si>
    <t>Vereda San Martin</t>
  </si>
  <si>
    <t xml:space="preserve">Acueducto San Martin </t>
  </si>
  <si>
    <t>Acueducto San Jose  de Apartado</t>
  </si>
  <si>
    <t>Acueducto Churido Pueblo</t>
  </si>
  <si>
    <t>Acueducto Multisectorial Zungo Carretera -  Loma Verde</t>
  </si>
  <si>
    <t>Junta de Acción Comunal Corregimiento de Buenos Aires</t>
  </si>
  <si>
    <t xml:space="preserve">Junta de Acción Comunal Corregimiento El Carmelo </t>
  </si>
  <si>
    <t xml:space="preserve">Junta de Acción Comunal de Garrapatas  </t>
  </si>
  <si>
    <t>Junta de Acción Comunal de La Vereda Canime Indigena</t>
  </si>
  <si>
    <t>Junta de Acción Comunal Vereda El Yeso</t>
  </si>
  <si>
    <t>Junta de Acción Comunal Corregimiento de Trinidad</t>
  </si>
  <si>
    <t>Junta de Acción Comunal de San José del Carmelo</t>
  </si>
  <si>
    <t>Junta de Acción Comunal Corregimiento de Guadual Arriba</t>
  </si>
  <si>
    <t>Junta de Acción Comunal La Atoyosa</t>
  </si>
  <si>
    <t>Junta de Acción Comunal Pueblo Chino</t>
  </si>
  <si>
    <t>Junta de Acción Comunal de  Nueva Estrella</t>
  </si>
  <si>
    <t>Junta de Acción Comunal Corregimiento de Naranjitas</t>
  </si>
  <si>
    <t>Junta de Acción Comunal de La Vereda Bajo Grande</t>
  </si>
  <si>
    <t>Junta de Acción Comunal Siete Hermanas</t>
  </si>
  <si>
    <t>Junta de Acción Comunal de Platas Arriba-Sector La Esperanza</t>
  </si>
  <si>
    <t>Junta de Acción Comunal de Platas Arriba-Sector Dios Es Amor</t>
  </si>
  <si>
    <t>Junta de Acción Comunal de La Vereda El Coco Kilometro 10</t>
  </si>
  <si>
    <t xml:space="preserve">Junta de Acción Comunal de Las  Santa Fe de Las Platas </t>
  </si>
  <si>
    <t>Junta de Accion Comunal Vereda Aguas Vivas</t>
  </si>
  <si>
    <t>Junta de Accion Comunal El Carmelo</t>
  </si>
  <si>
    <t>Vereda Garrapatas</t>
  </si>
  <si>
    <t>Canime Indígena</t>
  </si>
  <si>
    <t>Vereda La Atoyosa</t>
  </si>
  <si>
    <t>Corregimiento Naranjitas</t>
  </si>
  <si>
    <t>Sector la Esperanza</t>
  </si>
  <si>
    <t>Sector Dios es Amor</t>
  </si>
  <si>
    <t>Vereda El Coco  Kilometro 10</t>
  </si>
  <si>
    <t xml:space="preserve">Vereda aguas Vivas </t>
  </si>
  <si>
    <t>Vereda Arenosa</t>
  </si>
  <si>
    <t>Vereda Canal Uno</t>
  </si>
  <si>
    <t>Junta Administradora de Acueducto Carepita Canal Uno</t>
  </si>
  <si>
    <t>Corregimiento Piedras Blancas</t>
  </si>
  <si>
    <t xml:space="preserve">Junta Administradora de Acueducto y Alcantarillado Corregimiento Piedras Blancas </t>
  </si>
  <si>
    <t>Junta Administradora de Acueducto y Alcantarillado 28 de Octubre</t>
  </si>
  <si>
    <t>VeredaEl Encanto</t>
  </si>
  <si>
    <t>Junta Administradora de Acueducto Carepita Promexcol-Carepita Promexcol</t>
  </si>
  <si>
    <t>Vereda Zarabanda</t>
  </si>
  <si>
    <t>Junta Administradora de Acueducto  Zarabanda</t>
  </si>
  <si>
    <t>Vereda Eucalipto</t>
  </si>
  <si>
    <t>Vereda Belencito</t>
  </si>
  <si>
    <t>Junta Acción Comunal Vereda Belencito</t>
  </si>
  <si>
    <t>Vereda Caracolí</t>
  </si>
  <si>
    <t>Junta Administradora del Acueducto de Caracolí</t>
  </si>
  <si>
    <t>Vereda11 de Noviembre</t>
  </si>
  <si>
    <t>Junta Administradora de Acueducto y Alcantarillado Barrio 11 de Noviembre</t>
  </si>
  <si>
    <t>Vereda25 de Agosto</t>
  </si>
  <si>
    <t>Junta Administradora del Acueducto 25 de Agosto</t>
  </si>
  <si>
    <t>Junta de Accion Comunal Corregimiento Barranquillita</t>
  </si>
  <si>
    <t>Vereda El Dos Guapa</t>
  </si>
  <si>
    <t>Junta de Accion Comunal Vereda El Dos - El Dos Guapá</t>
  </si>
  <si>
    <t>Junta de Accion Comunal Vereda El Dos - Guapá La India</t>
  </si>
  <si>
    <t>Junta de Accion Comunal Vereda El Dos - Guapá León</t>
  </si>
  <si>
    <t>Junta de Accion Comunal Chontadural</t>
  </si>
  <si>
    <t>Junta de Accion Comunal Pavarandocito</t>
  </si>
  <si>
    <t>Junta de Accion Comunal Nuevo Mundo</t>
  </si>
  <si>
    <t>Junta de Accion Comunal Caucheras</t>
  </si>
  <si>
    <t xml:space="preserve">Vereda Piñales-Bedo </t>
  </si>
  <si>
    <t>Junta de Accion Comunal Piñales - Bedo</t>
  </si>
  <si>
    <t>Junta de Accion Comunal Bejuquillo</t>
  </si>
  <si>
    <t>Vereda Tierra  Dentro</t>
  </si>
  <si>
    <t>Junta de Accion Comunal Tierra dentro</t>
  </si>
  <si>
    <t>Junta de Accion Comunal Porroso</t>
  </si>
  <si>
    <t>Junta de Accion Comunal Primavera</t>
  </si>
  <si>
    <t>Junta de Accion Comunal Los Cedros</t>
  </si>
  <si>
    <t>Aguas Regionales E.P.M S.A E.S.P.-Belén de Bajirá</t>
  </si>
  <si>
    <t>Junta de Accion Comunal Los Cacaos</t>
  </si>
  <si>
    <t>Comunidad Jaikerazaby</t>
  </si>
  <si>
    <t>Junta de Accion Comunal Vereda Villa Arteaga</t>
  </si>
  <si>
    <t>Vereda  Casa Blanca</t>
  </si>
  <si>
    <t>Vereda Carlos Carretera</t>
  </si>
  <si>
    <t>Vereda Bocas de Iguana</t>
  </si>
  <si>
    <t>Vereda Bobal La Playa</t>
  </si>
  <si>
    <t>Acueducto Corregimiento Mulatos</t>
  </si>
  <si>
    <t>Junta de Acción Comunal Corregimiento Pueblo Nuevo-Corregimiento Pueblo Nuevo</t>
  </si>
  <si>
    <t>Junta de Acción Comunal Corregimiento Pueblo Nuevo-Loma de Piedra</t>
  </si>
  <si>
    <t>Acuototumo -El Totumo</t>
  </si>
  <si>
    <t>Acueducto Vereda Casa Blanca</t>
  </si>
  <si>
    <t>Acueducto La Ceibita</t>
  </si>
  <si>
    <t>Acueducto Carlos Carretera</t>
  </si>
  <si>
    <t>Acueducto Multiveredal Villa Sonia-Villa Nueva</t>
  </si>
  <si>
    <t>Acueducto Multiveredal Villa Sonia</t>
  </si>
  <si>
    <t>Acueducto Corregimiento El Mellito-El Mellito #1</t>
  </si>
  <si>
    <t>Acueducto Corregimiento El Mellito-El Mellito #2</t>
  </si>
  <si>
    <t>Acueducto Corregimiento Mello Villavicencio</t>
  </si>
  <si>
    <t>Acueducto Multiveredal Zapata</t>
  </si>
  <si>
    <t>Acueducto Vereda Mellito Alto</t>
  </si>
  <si>
    <t>Acueducto Multiveredal Zapata-Bocas de Iguana</t>
  </si>
  <si>
    <t>Sistemas Publicos S.A E.S.P.-SISPUB S.A E.S.P- Rio Necoclí</t>
  </si>
  <si>
    <t>Sistemas Publicos S.A E.S.P.-SISPUB S.A E.S.P-El Hoyito</t>
  </si>
  <si>
    <t>Sistemas Publicos S.A E.S.P.-SISPUB S.A E.S.P-Bobal La Playa</t>
  </si>
  <si>
    <t>Sistemas Publicos S.A E.S.P.-SISPUB S.A E.S.P-San Sebastian</t>
  </si>
  <si>
    <t>Acueducto Corregimiento Caribia</t>
  </si>
  <si>
    <t>Acueducto La Comarca</t>
  </si>
  <si>
    <t>Junta Administradora Santa Catalina</t>
  </si>
  <si>
    <t>Corregimiento  San Nicolas de los  Rios</t>
  </si>
  <si>
    <t>Corregimiento Siete Vueltas</t>
  </si>
  <si>
    <t>Junta Acción Comunal</t>
  </si>
  <si>
    <t>Junta Administradora Caracoli</t>
  </si>
  <si>
    <t>Junta Administradora El Caño Margen Izquierda</t>
  </si>
  <si>
    <t>Junta Administradora Arenas Monas</t>
  </si>
  <si>
    <t>Junta Administradora Zumbido Medio</t>
  </si>
  <si>
    <t xml:space="preserve">Asociación de Trabajadores por el Litoral-Camerún </t>
  </si>
  <si>
    <t>Junta Administradora de Acueducto y Alcantarillado el Tres</t>
  </si>
  <si>
    <t>Asociación de Trabajadores por el Litoral-Aguas Claras</t>
  </si>
  <si>
    <t xml:space="preserve">Asociación de Trabajadores por el Litoral-La Martina </t>
  </si>
  <si>
    <t>Junta de Acccion Comunal San Vicente</t>
  </si>
  <si>
    <t>Junta de Accion Comunal San Jose de Mulatos</t>
  </si>
  <si>
    <t>Junta de Accion Comunal Nueva Antioquia</t>
  </si>
  <si>
    <t xml:space="preserve">Asociación de Trabajadores por el Litoral-Cope </t>
  </si>
  <si>
    <t xml:space="preserve">Asociación de Trabajadores por el Litoral-Piedrecitas </t>
  </si>
  <si>
    <t>Optima de Urabá S.A E.S.P-Rio Grande</t>
  </si>
  <si>
    <t>Optima de Urabá S.A E.S.P-Currulao</t>
  </si>
  <si>
    <t>Optima de Urabá S.A E.S.P-Nueva Colonia</t>
  </si>
  <si>
    <t>Asociación de Usuarios del Acueducto Corregimiento El Dos E.S.P Asoacuedos E.S.P</t>
  </si>
  <si>
    <t>Junta de accion comunal Alto Mulatos</t>
  </si>
  <si>
    <t>Corregimiento de Labores</t>
  </si>
  <si>
    <t>Asociacion de Usuarios de Los Servicios Publicos de Labores (ASUL)</t>
  </si>
  <si>
    <t>Junta de Acción Comunal - Comite Empresarial  del Acueducto Vereda La Miel</t>
  </si>
  <si>
    <t>Vereda El Yuyal</t>
  </si>
  <si>
    <t>Asociacion de Usuarios de Acueducto El Yuyal</t>
  </si>
  <si>
    <t>Vereda La Amoladora</t>
  </si>
  <si>
    <t>Asociacion de Usuarios del Acueducto La Amoladora (ASUAMOL)</t>
  </si>
  <si>
    <t>Junta de Acción Comunal - Comite Empresarial  del  Acueducto La Candelaria</t>
  </si>
  <si>
    <t>Vereda Playas</t>
  </si>
  <si>
    <t>Asociacion de Usuarios del Acueducto Multiveredal Playas La Montaña, Zancudito, Potrerito (AUPLAM)-Las Playas</t>
  </si>
  <si>
    <t>Vereda Zancudito</t>
  </si>
  <si>
    <t>Asociacion de Usuarios del Acueducto Multiveredal Playas La Montaña, Zancudito, Potrerito (AUPLAM)-Zancudito</t>
  </si>
  <si>
    <t>Vereda Zafra</t>
  </si>
  <si>
    <t>Asociación de Usuarios del Acueducto Multiveredal Zafra Zancudito (ASUAZA)</t>
  </si>
  <si>
    <t>Asociacion de Usuarios del Acueducto El Hoyo (ASUDAH)</t>
  </si>
  <si>
    <t>Junta de Acción Comunal Vereda Travesías</t>
  </si>
  <si>
    <t>Vereda El Gurri</t>
  </si>
  <si>
    <t>Junta de Acción Comunal Vereda El Gurrí</t>
  </si>
  <si>
    <t>Vereda El Polvillo</t>
  </si>
  <si>
    <t>Junta de Acción Comunal Vereda El Polvillo</t>
  </si>
  <si>
    <t>Vereda La Rodriguez</t>
  </si>
  <si>
    <t>Junta de Acción Comunal La Rodríguez</t>
  </si>
  <si>
    <t>Vereda Alto de Chiri</t>
  </si>
  <si>
    <t>Junta de Acción Comunal Vereda Alto de Chiri</t>
  </si>
  <si>
    <t>Junta de Acción Comunal Pueblo Nuevo</t>
  </si>
  <si>
    <t>Vereda Chorrillos</t>
  </si>
  <si>
    <t>Junta de Acción Comunal Vereda Chorrillos</t>
  </si>
  <si>
    <t>Junta de Acción Comunal Vereda La Calera</t>
  </si>
  <si>
    <t>Vereda El Hoyo</t>
  </si>
  <si>
    <t>Junta de Acción Comunal Gurimán El Hoyo</t>
  </si>
  <si>
    <t>Vereda El Roblal</t>
  </si>
  <si>
    <t>Junta de Acción Comunal Vereda El Roblal</t>
  </si>
  <si>
    <t>Corregimiento Las Auras</t>
  </si>
  <si>
    <t>Vereda Chorros Blancos Nº 1</t>
  </si>
  <si>
    <t xml:space="preserve">Vereda La Travesía </t>
  </si>
  <si>
    <t>Vereda Plan De Las Rosas</t>
  </si>
  <si>
    <t>Vereda La Colmena</t>
  </si>
  <si>
    <t>Vereda La Chiquita -Manzanillo</t>
  </si>
  <si>
    <t>Vereda Los Mangos</t>
  </si>
  <si>
    <t>Junta de Acción Comunal La Frisolera</t>
  </si>
  <si>
    <t>Vereda  La Camelia</t>
  </si>
  <si>
    <t>Secretaria de Medio Ambiente-La Camelia</t>
  </si>
  <si>
    <t>Vereda  La Maria</t>
  </si>
  <si>
    <t>Secretaria de Medio Ambiente-La Maria</t>
  </si>
  <si>
    <t>Vereda Claritas</t>
  </si>
  <si>
    <t>Secretaria de Medio Ambiente-Claritas</t>
  </si>
  <si>
    <t>Secretaria de Medio Ambiente -La Herradura</t>
  </si>
  <si>
    <t>Vereda La Granja La Vega El rio</t>
  </si>
  <si>
    <t>Secretaria de Medio Ambiente - La Granja La Vega El Rio</t>
  </si>
  <si>
    <t>Vereda Troneras</t>
  </si>
  <si>
    <t>Junta de Acción Comunal Vereda El Salto -Troneras</t>
  </si>
  <si>
    <t>Junta de Acción Comunal San Andres</t>
  </si>
  <si>
    <t>Corregimiento Bellavista</t>
  </si>
  <si>
    <t>Junta de Acción Comunal Corregimiento Bellavista</t>
  </si>
  <si>
    <t>Vereda  La Montera</t>
  </si>
  <si>
    <t>Junta de Acción Comunal La Montera</t>
  </si>
  <si>
    <t xml:space="preserve">Vereda  La Frisolera </t>
  </si>
  <si>
    <t>Vereda  Animas Piedrahita</t>
  </si>
  <si>
    <t>Junta de Acción Comunal Animas Piedrahita</t>
  </si>
  <si>
    <t>Vereda El Progreso</t>
  </si>
  <si>
    <t>Acumultiveredal La Veta-El Progreso</t>
  </si>
  <si>
    <t>Vereda  El Filo</t>
  </si>
  <si>
    <t>Acumultiveredal La Veta-El Filo</t>
  </si>
  <si>
    <t>Acumultiveredal La Veta-Las Brisas</t>
  </si>
  <si>
    <t>Vereda Pio XII</t>
  </si>
  <si>
    <t>Acumultiveredal La Veta-Pio XII</t>
  </si>
  <si>
    <t>Acumultiveredal La Veta-Porvenir</t>
  </si>
  <si>
    <t>Acumultiveredal La Veta-El Tesoro</t>
  </si>
  <si>
    <t>Vereda Peñol</t>
  </si>
  <si>
    <t>Acueducto Multiveredal Manantiales-Peñol</t>
  </si>
  <si>
    <t>Vereda Riochico</t>
  </si>
  <si>
    <t>Acueducto Multiveredal Manantiales-Riochico</t>
  </si>
  <si>
    <t>Vereda Riogrande</t>
  </si>
  <si>
    <t>Acueducto Multiveredal Manantiales-Riogrande</t>
  </si>
  <si>
    <t>Vereda  Yerbabuena</t>
  </si>
  <si>
    <t>Acueducto Multiveredal Manantiales-Yerbabuena</t>
  </si>
  <si>
    <t>Asociacion de Usuarios Propietarios del Acueducto Vereda El Zancudo</t>
  </si>
  <si>
    <t>San Juan De Urabá</t>
  </si>
  <si>
    <t>Asociación de Usuarios Acueducto El  Salto (ASOACUA)- El Salto</t>
  </si>
  <si>
    <t>Vereda La Arenera</t>
  </si>
  <si>
    <t>Asociación de Usuarios Acueducto El  Salto (ASOACUA) -La Arenera</t>
  </si>
  <si>
    <t>Vereda Vega Botero</t>
  </si>
  <si>
    <t>Junta de Acción Comunal Vereda Vega Botero</t>
  </si>
  <si>
    <t xml:space="preserve">Vereda Lorica </t>
  </si>
  <si>
    <t xml:space="preserve">Junta de Acción Comunal Vereda Lorica </t>
  </si>
  <si>
    <t>Corregimiento La Estrella</t>
  </si>
  <si>
    <t>Asociación de Usuarios del Acueducto Corregimiento La Estrella E.S.P.</t>
  </si>
  <si>
    <t>Vereda San Fernandito</t>
  </si>
  <si>
    <t>Asociación de Usuarios del Acueducto Veredal San Fernandito E.S.P.</t>
  </si>
  <si>
    <t>Vereda La Bonita</t>
  </si>
  <si>
    <t>Junta de Acción Comunal Vereda La Bonita</t>
  </si>
  <si>
    <t>Vereda La Acequia</t>
  </si>
  <si>
    <t>Junta de Acción Comunal Vereda La Acequia</t>
  </si>
  <si>
    <t>Asociación de Usuarios Acueducto El Cerro</t>
  </si>
  <si>
    <t>Asociación de Usuarios Acueducto El Indio</t>
  </si>
  <si>
    <t>Asociación de Usuarios Acueducto El Guayabo</t>
  </si>
  <si>
    <t>Asociación de Usuarios Acueducto La Primavera</t>
  </si>
  <si>
    <t xml:space="preserve">Vereda La Hondura </t>
  </si>
  <si>
    <t xml:space="preserve">Junta de Acción Comunal Vereda La Hondura </t>
  </si>
  <si>
    <t xml:space="preserve">Vereda San Matias </t>
  </si>
  <si>
    <t xml:space="preserve">Junta de Acción Comunal Vereda San Matias </t>
  </si>
  <si>
    <t xml:space="preserve">Junta de Acción Comunal Vereda Cañaveral </t>
  </si>
  <si>
    <t xml:space="preserve">Vereda La Contrata </t>
  </si>
  <si>
    <t xml:space="preserve">Asociacion de Usuarios Vereda La Contrata </t>
  </si>
  <si>
    <t>Vereda El Tablon</t>
  </si>
  <si>
    <t>Asociación de Usuarios Acueducto El Tablon</t>
  </si>
  <si>
    <t>Vereda Quebradoncita</t>
  </si>
  <si>
    <t>Vereda La Bayadera</t>
  </si>
  <si>
    <t>Asociación de Usuarios Acueducto La Bayadera</t>
  </si>
  <si>
    <t>Vereda La Divisa</t>
  </si>
  <si>
    <t>Junta Administradora La Divisa</t>
  </si>
  <si>
    <t>Vereda Guadalupe IV</t>
  </si>
  <si>
    <t>Empresas Publicas de Medellin E.S.P.Los Cedros-Guadalupe IV</t>
  </si>
  <si>
    <t>Empresa de Servicios Publicos de Guadalupe S.A.S. E.S.P.-Montañita</t>
  </si>
  <si>
    <t>Vereda Candelaria</t>
  </si>
  <si>
    <t>Asociación de Usuarios del Acueducto Veredal La Candelaria</t>
  </si>
  <si>
    <t>Vereda Guanteros</t>
  </si>
  <si>
    <t>Junta Administradora Acueducto Guanteros</t>
  </si>
  <si>
    <t>Vereda El Machete</t>
  </si>
  <si>
    <t>ASOMAGUBA-El Machete</t>
  </si>
  <si>
    <t>Vereda Malabrigo</t>
  </si>
  <si>
    <t>Junta Administradora del Acueducto Malabrigo</t>
  </si>
  <si>
    <t>Vereda San Basilio Abajo</t>
  </si>
  <si>
    <t>Asociacion de Usuarios del Acueducto San Basilio Bajo</t>
  </si>
  <si>
    <t>Vereda Bramadora</t>
  </si>
  <si>
    <t>Junta Administradora El Perico Guadalupe IV-Bramadora</t>
  </si>
  <si>
    <t>Vereda Plan de Perez</t>
  </si>
  <si>
    <t>Junta Administradora de Acueducto Vereda Plan de Perez</t>
  </si>
  <si>
    <t>Vereda San Basilio Medio</t>
  </si>
  <si>
    <t>Junta Administradora del Acueducto San Basilio Medio</t>
  </si>
  <si>
    <t>Vereda Puente Acacias</t>
  </si>
  <si>
    <t>Asociacion de Usuarios del Acueducto Puente Acacias</t>
  </si>
  <si>
    <t>Junta Administradora Acueducto El Morro</t>
  </si>
  <si>
    <t>Asociacion de Usuarios del Acueducto Veredal "Gotas de Agua Pura"-El Guadual</t>
  </si>
  <si>
    <t>Corregimiento de la Granja</t>
  </si>
  <si>
    <t>Junta Administradora Acueducto Corregimiento de la Granja</t>
  </si>
  <si>
    <t>Junta Administradora Acueducto Multiveredal Paloblanco - Buena Vista</t>
  </si>
  <si>
    <t>Vereda La Hundida</t>
  </si>
  <si>
    <t>Junta Administradora Acueducto Multiveredal Paloblanco - La Hundida</t>
  </si>
  <si>
    <t>Vereda Guacharaquero</t>
  </si>
  <si>
    <t>Junta Administradora Acueducto Guacharaquero - La Honda Predio Carlos Taborda</t>
  </si>
  <si>
    <t>Junta Administradora Acueducto Guacharaquero-Arenales</t>
  </si>
  <si>
    <t>Junta de Acción Comunal  Santa Rita - La Hermosa</t>
  </si>
  <si>
    <t>Junta de Acción Comunal  Santa Rita-Arenales</t>
  </si>
  <si>
    <t>Corregimiento El Aro</t>
  </si>
  <si>
    <t>Junta de Acción Comunal  Corregimiento El Aro</t>
  </si>
  <si>
    <t>Junta de Acción Comunal  Santa Rita-Pueblo Nuevo</t>
  </si>
  <si>
    <t>Junta de Acción Comunal Santa Lucia</t>
  </si>
  <si>
    <t>Junta de Acción Comunal  Santa Ana</t>
  </si>
  <si>
    <t>Vereda Pascuita</t>
  </si>
  <si>
    <t>Junta de Acción Comunal Pascuita- Pascuita</t>
  </si>
  <si>
    <t>Junta de Acción Comunal Pascuita-  Palmichal</t>
  </si>
  <si>
    <t>Vereda Las Agüitas</t>
  </si>
  <si>
    <t>Junta de Acción Comunal Pascuita- Las Agüitas</t>
  </si>
  <si>
    <t>Vereda Candelaria Alta</t>
  </si>
  <si>
    <t>Junta Administradora Acueducto de La Candelaria Alta</t>
  </si>
  <si>
    <t>Vereda Brisas</t>
  </si>
  <si>
    <t>Junta Administradora de Acueducto Vereda Brisas</t>
  </si>
  <si>
    <t>Vereda El Cedral</t>
  </si>
  <si>
    <t>Junta Administradora de Acueducto El Cedral</t>
  </si>
  <si>
    <t>Vereda El Tejar</t>
  </si>
  <si>
    <t>Junta Administradora de Acueducto Vereda El Tejar</t>
  </si>
  <si>
    <t>Junta de Administradora de Acueducto La Miranda</t>
  </si>
  <si>
    <t>Vereda Candelaria Baja</t>
  </si>
  <si>
    <t>Junta Administradora de Acueducto Candelaria Baja</t>
  </si>
  <si>
    <t>Junta Administradora Acueducto Multiveredal Chontaduro-Chontaduro</t>
  </si>
  <si>
    <t>Vereda Bajo Ingles</t>
  </si>
  <si>
    <t>Junta Administradora de Acueducto Vereda Bajo Ingles</t>
  </si>
  <si>
    <t>Vereda El Quibral</t>
  </si>
  <si>
    <t>Junta Administradora de Acueducto La Georgia-El Quibral</t>
  </si>
  <si>
    <t>Junta Administradora de Acueducto La Georgia-El Calvario</t>
  </si>
  <si>
    <t>Vereda Camelia Alta</t>
  </si>
  <si>
    <t xml:space="preserve">Junta de Acción Comunal La Estrella-Camelia Alta </t>
  </si>
  <si>
    <t xml:space="preserve">Junta de Acción Comunal El Tinto La Florida-La Florida </t>
  </si>
  <si>
    <t>Vereda El Tinto La Florida</t>
  </si>
  <si>
    <t>Junta de Acción Comunal El Porvenir-El Tinto La Florida</t>
  </si>
  <si>
    <t>Vereda Paloblanco</t>
  </si>
  <si>
    <t>Junta Administradora Acueducto Multiveredal Paloblanco - Paloblanco</t>
  </si>
  <si>
    <t>Junta Administradora Acueducto  La Honda</t>
  </si>
  <si>
    <t xml:space="preserve">Vereda San Isidro </t>
  </si>
  <si>
    <t>Junta Administradora Acueducto San Isidro</t>
  </si>
  <si>
    <t>Vereda Las Arañas</t>
  </si>
  <si>
    <t>Junta de Acción Comunal Las Arañas</t>
  </si>
  <si>
    <t>Junta Administradora de Acueducto Vereda Las Cuatro</t>
  </si>
  <si>
    <t>Vereda Pio X</t>
  </si>
  <si>
    <t>Junta Administradora Acueducto Vereda Pio X</t>
  </si>
  <si>
    <t>Sector Requintadero</t>
  </si>
  <si>
    <t>Junta Administradora Acueducto de Requintadero</t>
  </si>
  <si>
    <t>Junta Administradora Acueducto Multiveredal Chontaduro - Murrapal</t>
  </si>
  <si>
    <t>Vereda Cenizas</t>
  </si>
  <si>
    <t>Junta Administradora Acueducto Multiveredal Chontaduro - Cenizas</t>
  </si>
  <si>
    <t>Vereda Loma Grande</t>
  </si>
  <si>
    <t>Junta de Acción Comunal Vereda Loma Grande</t>
  </si>
  <si>
    <t>Vereda Alto Seco</t>
  </si>
  <si>
    <t>Junta de Acción Comunal Vereda Alto Seco</t>
  </si>
  <si>
    <t>Junta de Acción Comunal Vereda El Morro</t>
  </si>
  <si>
    <t>Vereda Media Loma</t>
  </si>
  <si>
    <t>Junta de Acción Comunal Vereda Media Loma</t>
  </si>
  <si>
    <t>Junta de Acción Comunal Vereda Santa Gertrudis</t>
  </si>
  <si>
    <t>Junta de Acción Comunal Vereda San Miguel</t>
  </si>
  <si>
    <t>Junta de Acción Comunal Vereda Travesias</t>
  </si>
  <si>
    <t>Junta de Acción Comunal Vereda Cienaga</t>
  </si>
  <si>
    <t>Junta de Acción Comunal Vereda Cruces</t>
  </si>
  <si>
    <t>Vereda Cordillera</t>
  </si>
  <si>
    <t>Vereda Loma del Indio</t>
  </si>
  <si>
    <t>Junta de Acción Comunal Vereda Loma del Indio</t>
  </si>
  <si>
    <t>Junta de Acción Comunal Vereda Montebello</t>
  </si>
  <si>
    <t>Junta de Acción Comunal Vereda La Chorrera</t>
  </si>
  <si>
    <t>Vereda El Bujio</t>
  </si>
  <si>
    <t>Junta de Acción Comunal Vereda El Bujio</t>
  </si>
  <si>
    <t xml:space="preserve"> Vereda El Mico</t>
  </si>
  <si>
    <t>Junta de Acción Comunal Vereda Tabor-El Mico</t>
  </si>
  <si>
    <t xml:space="preserve"> Vereda Cañadusalez</t>
  </si>
  <si>
    <t>Junta de Acción Comunal Vereda Cañaduzales</t>
  </si>
  <si>
    <t>Vereda Vereda Lejia</t>
  </si>
  <si>
    <t>Junta de Acción Comunal Vereda La Lejia</t>
  </si>
  <si>
    <t xml:space="preserve"> Vereda Potrerito</t>
  </si>
  <si>
    <t>Junta de Acción Comunal Potrerito</t>
  </si>
  <si>
    <t>Vereda El Caribe</t>
  </si>
  <si>
    <t>Asociación de Usuarios Manantiales La Arabia</t>
  </si>
  <si>
    <t>Vereda Camburé</t>
  </si>
  <si>
    <t>Junta de Acción Comunal Camburé</t>
  </si>
  <si>
    <t>San José de La Montaña</t>
  </si>
  <si>
    <t xml:space="preserve"> Vereda La Pulgarina</t>
  </si>
  <si>
    <t>Asociacion de Usuarios Acueducto de la Vereda La Pulgarina (ASOPUL)</t>
  </si>
  <si>
    <t xml:space="preserve"> Vereda Alto De Medina</t>
  </si>
  <si>
    <t>Asociacion de Usuarios del Acueducto Alto de Medina</t>
  </si>
  <si>
    <t xml:space="preserve"> Vereda Pantanillo</t>
  </si>
  <si>
    <t>Asociacion de Usuarios del Acueducto de las Veredas Espiritu Santo, Pantanillo (ASUAVEP)</t>
  </si>
  <si>
    <t xml:space="preserve"> Vereda Montefrio</t>
  </si>
  <si>
    <t>Asociacion de Usuarios del Acueducto Multiveredal Montefrio-Montefrio</t>
  </si>
  <si>
    <t xml:space="preserve"> Vereda San Francisco</t>
  </si>
  <si>
    <t>Junta Administradora del Acueducto San Francisco-ACUASFRAN</t>
  </si>
  <si>
    <t xml:space="preserve"> Vereda Monterredondo</t>
  </si>
  <si>
    <t>Acueducto de Monterredondo-Monterredondo</t>
  </si>
  <si>
    <t xml:space="preserve"> Vereda La Maria</t>
  </si>
  <si>
    <t>Asociacion de Usuarios del Acueducto San Juan La Maria (ASOJUMARIA)-La Maria</t>
  </si>
  <si>
    <t xml:space="preserve"> Vereda La Cuchilla</t>
  </si>
  <si>
    <t>Asociacion de Usuarios Junta Administradora Acueducto La Cuchilla San Pedro</t>
  </si>
  <si>
    <t xml:space="preserve"> Vereda  Ovejas</t>
  </si>
  <si>
    <t>Asociación de Usuarios del Acueducto de Ovejas (AACO)</t>
  </si>
  <si>
    <t xml:space="preserve"> Vereda La Empalizada</t>
  </si>
  <si>
    <t>Acueducto La Empalizada</t>
  </si>
  <si>
    <t xml:space="preserve"> Vereda La Lana</t>
  </si>
  <si>
    <t>Asociación de Usuarios del Acueducto La Lana</t>
  </si>
  <si>
    <t xml:space="preserve"> Vereda La Palma</t>
  </si>
  <si>
    <t>Asociación de Usuarios del Acueducto La Palma</t>
  </si>
  <si>
    <t xml:space="preserve"> Vereda La Clarita </t>
  </si>
  <si>
    <t>Asociacion de Usuarios del Acueducto de la Vereda Buenos Aires</t>
  </si>
  <si>
    <t xml:space="preserve"> Vereda San Juan</t>
  </si>
  <si>
    <t>Asociacion de Usuarios del Acueducto San Juan La Maria (ASOJUMARIA)-San Juan</t>
  </si>
  <si>
    <t xml:space="preserve"> Vereda Cerezales</t>
  </si>
  <si>
    <t>Asociacion de Usuarios del Acueducto Multiveredal Montefrio-Cerezales</t>
  </si>
  <si>
    <t>Vereda Santa Bárbara 2</t>
  </si>
  <si>
    <t>Acueducto Santa Bárbara 2</t>
  </si>
  <si>
    <t>Vereda San Jose la Ahumada</t>
  </si>
  <si>
    <t>Asociacion de Usuarios Acueducto ACUESANA -San Jose la Ahumada</t>
  </si>
  <si>
    <t>Corregimiento  San Pablo</t>
  </si>
  <si>
    <t>Asociación de Usuarios del Acueducto y Alcantarillado de San Pablo</t>
  </si>
  <si>
    <t xml:space="preserve">Vereda Santa Ana </t>
  </si>
  <si>
    <t xml:space="preserve">Asociación de Usuarios del Acueducto Multiveredal AMORSSAN- Santa Ana </t>
  </si>
  <si>
    <t>Corregimiento  San Isidro</t>
  </si>
  <si>
    <t xml:space="preserve">Asociación de Usuarios del Acueducto San Isidro </t>
  </si>
  <si>
    <t>Corregimiento Aragón</t>
  </si>
  <si>
    <t xml:space="preserve">Junta Administradora Acueducto Aragon </t>
  </si>
  <si>
    <t xml:space="preserve">Vereda Pontezuela </t>
  </si>
  <si>
    <t>Asociacion de Usuarios Acuadueducto Multiveredal Pontezuela</t>
  </si>
  <si>
    <t>Vereda Malambo</t>
  </si>
  <si>
    <t xml:space="preserve">Asociación de Usuarios Acueducto y Alcantarillado Malambo ASAYAMA </t>
  </si>
  <si>
    <t xml:space="preserve">Junta Administradora Acueducto La Lomita </t>
  </si>
  <si>
    <t>Corregimiento  Hoyorrico</t>
  </si>
  <si>
    <t>Asociación de Usuarios Acueducto Multiveredal La Cejita, San Francisco y Hoyorrico - Hoyorrico</t>
  </si>
  <si>
    <t>Asociación de Usuarios Acueducto Multiveredal La Cejita, San Francisco y Hoyorrico - San Francisco</t>
  </si>
  <si>
    <t xml:space="preserve">Aociacion de Usurios Acueducto El Chaquiro </t>
  </si>
  <si>
    <t xml:space="preserve">Vereda La Piedra </t>
  </si>
  <si>
    <t xml:space="preserve">Asociacion de Usurios Acueducto La Piedra </t>
  </si>
  <si>
    <t>Vereda Minavieja</t>
  </si>
  <si>
    <t>Asociacion de Usuarios Acueducto El Titan</t>
  </si>
  <si>
    <t>Vereda Ahitoncito</t>
  </si>
  <si>
    <t xml:space="preserve">Junta Administradora Acueducto Ahitoncito </t>
  </si>
  <si>
    <t xml:space="preserve">Asociación Acueducto Remanso de Paz de La Vereda El Vergel </t>
  </si>
  <si>
    <t>Vereda Orobajo</t>
  </si>
  <si>
    <t>Asociación de Usuarios del Acueducto Multiveredal AMORSSAN-Orobajo Santa Ines</t>
  </si>
  <si>
    <t xml:space="preserve">Vereda Los Salados  </t>
  </si>
  <si>
    <t xml:space="preserve">Asociación de Usuarios del Acueducto Multiveredal AMORSSAN-Los Salados  </t>
  </si>
  <si>
    <t>Asociación de Usuarios del Acueducto Multiveredal AMORSSAN-La Muñoz</t>
  </si>
  <si>
    <t>Corregimiento Riogrande</t>
  </si>
  <si>
    <t>Asociación de Socios Acueducto y Alcantarillado Corregimiento de Riogrande-ASAACOR</t>
  </si>
  <si>
    <t>Vereda Orobajo -  Riogrande</t>
  </si>
  <si>
    <t>Asociación de Usuarios del Acueducto Multiveredal AMORSSAN-Riogrande</t>
  </si>
  <si>
    <t xml:space="preserve">Junta Administradora Acueducto La Clara </t>
  </si>
  <si>
    <t>Vereda El Caney</t>
  </si>
  <si>
    <t>Asociación de Usuarios del Acueducto El Caney</t>
  </si>
  <si>
    <t>Asociación de Usuarios Acueducto Allachí-El Llano</t>
  </si>
  <si>
    <t>Vereda Chilimaco</t>
  </si>
  <si>
    <t>Asociación de Usuarios Acueducto Allachí-Chilimaco</t>
  </si>
  <si>
    <t>Vereda Salamina</t>
  </si>
  <si>
    <t>Asociación de Usuarios del Acueducto La Pava Salamina -Salamina</t>
  </si>
  <si>
    <t>Vereda La Pava</t>
  </si>
  <si>
    <t>Asociación de Usuarios del Acueducto La Pava Salamina -La Pava</t>
  </si>
  <si>
    <t>Junta Administradora Acueducto Fronteras-Montefrio</t>
  </si>
  <si>
    <t>Junta Administradora Acueducto Fronteras-Barrancas</t>
  </si>
  <si>
    <t xml:space="preserve">Vereda Buenavista </t>
  </si>
  <si>
    <t>Unidad de Servicios Publicos Domiciliarios E.S.P. del Municipio de Toledo -Vereda Buenavista</t>
  </si>
  <si>
    <t>Vereda Miraflores</t>
  </si>
  <si>
    <t>Junta de Acción Comunal de Miraflores</t>
  </si>
  <si>
    <t xml:space="preserve">Junta de Acción Comunal Vereda Barrancas </t>
  </si>
  <si>
    <t>Vereda Brugo</t>
  </si>
  <si>
    <t>Juntade Acuedcuto Vereda de Brugo</t>
  </si>
  <si>
    <t xml:space="preserve">Corregimiento del Valle </t>
  </si>
  <si>
    <t>Unidad de Servicios Publicos Domiciliarios E.S.P. del Municipio de Toledo-Corregimiento del Valle de Toledo</t>
  </si>
  <si>
    <t>Vereda El Cantaro</t>
  </si>
  <si>
    <t>Junta de Acción Comunal Vereda El Cantaro</t>
  </si>
  <si>
    <t>Vereda Biogui</t>
  </si>
  <si>
    <t>Junta de Acuedcuto Vereda Biogui</t>
  </si>
  <si>
    <t>Helechales</t>
  </si>
  <si>
    <t xml:space="preserve">Junta de Acción Comunal Vereda Helechales </t>
  </si>
  <si>
    <t>Unidad de Servicios Publicos Domiciliarios E.S.P. del Municipio de Toledo -Vereda Guayabal</t>
  </si>
  <si>
    <t xml:space="preserve">Vereda Florida </t>
  </si>
  <si>
    <t xml:space="preserve">Junta de Acueducto  Vereda Florida </t>
  </si>
  <si>
    <t>Vereda Taque</t>
  </si>
  <si>
    <t>Junta de Acuedcuto Vereda Taque</t>
  </si>
  <si>
    <t>La Linda</t>
  </si>
  <si>
    <t>Unidad de Servicios Publicos Domiciliarios E.S.P. del Municipio de Toledo -Verda La Linda</t>
  </si>
  <si>
    <t>Vereda El Quince</t>
  </si>
  <si>
    <t>Junta de Acción Comunal El Quince</t>
  </si>
  <si>
    <t>Vereda El Nevado</t>
  </si>
  <si>
    <t>Junta de Acción Comunal El Nevado</t>
  </si>
  <si>
    <t>Vereda La Habana</t>
  </si>
  <si>
    <t>Junta de Acción Comunal Caracoli-La Habana</t>
  </si>
  <si>
    <t>Vereda Palomas</t>
  </si>
  <si>
    <t>Junta de Acción Comunal Palomas</t>
  </si>
  <si>
    <t>Vereda Puerto Raudal</t>
  </si>
  <si>
    <t>Junta de Acción Comunal Puerto Raudal</t>
  </si>
  <si>
    <t>Corregimiento Puerto Valdivia</t>
  </si>
  <si>
    <t>Junta de Acción Comunal Puerto Valdivia</t>
  </si>
  <si>
    <t>Corregimiento Raudal</t>
  </si>
  <si>
    <t>Junta de Acción Comunal Raudal</t>
  </si>
  <si>
    <t>Vereda Zorras</t>
  </si>
  <si>
    <t>Junta de Acción Comunal Buenos Aires</t>
  </si>
  <si>
    <t>Corregimiento Llanos de Cuiva</t>
  </si>
  <si>
    <t>ASPROLLAC-Corregimiento Llanos de Cuiva</t>
  </si>
  <si>
    <t>Vereda Jose Maria Cordoba</t>
  </si>
  <si>
    <t>Junta Administradora del Acueducto Jose Maria Cordoba</t>
  </si>
  <si>
    <t>Vereda Mina Vieja</t>
  </si>
  <si>
    <t>Junta del Acción Comunal Mina Vieja</t>
  </si>
  <si>
    <t>Corregimiento Cedeño</t>
  </si>
  <si>
    <t>Asociación del Usuraios Acueducto Cedeño Asouace</t>
  </si>
  <si>
    <t>Corregimiento Ochali</t>
  </si>
  <si>
    <t>Junta Administardora del Acueducto Ochali</t>
  </si>
  <si>
    <t>Corregimiento El Cedro</t>
  </si>
  <si>
    <t>Junta Administardora del Acueducto El Cedro</t>
  </si>
  <si>
    <t>Vereda  La Estrella</t>
  </si>
  <si>
    <t xml:space="preserve">Junta Admnistradora del Acueduto Mallarino - La Estrella </t>
  </si>
  <si>
    <t>Corregimiento El Llano de Yarumal</t>
  </si>
  <si>
    <t>Junta Administardora del Acueducto El Llano de Yarumal</t>
  </si>
  <si>
    <t>Corregimiento la Loma</t>
  </si>
  <si>
    <t>Junta Administradora Acueducto La Loma</t>
  </si>
  <si>
    <t>Corregimiento El Pueblito</t>
  </si>
  <si>
    <t>Junta Administradora del Acueducto El Pueblito</t>
  </si>
  <si>
    <t>Vereda  Chorros Blancos Abajo</t>
  </si>
  <si>
    <t>Junta Administradora del Acueducto Chorros Blancos Abajo</t>
  </si>
  <si>
    <t>Apartadó</t>
  </si>
  <si>
    <t>Mutatá</t>
  </si>
  <si>
    <t>Chigorodó</t>
  </si>
  <si>
    <t>Necoclí</t>
  </si>
  <si>
    <t>Entrerríos</t>
  </si>
  <si>
    <t>Abriaquí</t>
  </si>
  <si>
    <t>Anzá</t>
  </si>
  <si>
    <t>Ebéjico</t>
  </si>
  <si>
    <t>Amagá</t>
  </si>
  <si>
    <t>Angelópolis</t>
  </si>
  <si>
    <t>Támesis</t>
  </si>
  <si>
    <t>Nechí</t>
  </si>
  <si>
    <t>Puerto Berrío</t>
  </si>
  <si>
    <t>Yondó</t>
  </si>
  <si>
    <t>Anorí</t>
  </si>
  <si>
    <t>Vegachí</t>
  </si>
  <si>
    <t>Yalí</t>
  </si>
  <si>
    <t>Yolombó</t>
  </si>
  <si>
    <t>Corregimiento Santa Elena</t>
  </si>
  <si>
    <t>Corregimiento Altavista</t>
  </si>
  <si>
    <t>Junta Administradora Acueducto Aguas Frías</t>
  </si>
  <si>
    <t>Palmitas</t>
  </si>
  <si>
    <t>Corregimiento El Hatillo</t>
  </si>
  <si>
    <t>Acueducto Veredal Buga Cuenca Prehispanica</t>
  </si>
  <si>
    <t>Asociación de Usuarios del Acueducto Multiveredal Aguas Cristalinas (AUAMAC)-La Tolda</t>
  </si>
  <si>
    <t>Vereda San Eugenio-San Eugenio</t>
  </si>
  <si>
    <t>Comité Pro Acueductos Mocorongo</t>
  </si>
  <si>
    <t>Acueducto Veredal Buga La Estación</t>
  </si>
  <si>
    <t>Vereda Platanito Parte Baja</t>
  </si>
  <si>
    <t>Asociación de Usuarios de La Vereda Platanito-Platanito Parte Baja</t>
  </si>
  <si>
    <t>Asociación de Usuarios del Acueducto de Buenos Aires</t>
  </si>
  <si>
    <t>Vereda La Ese</t>
  </si>
  <si>
    <t>Asociación de Usuarios del Acueducto La Delgadita</t>
  </si>
  <si>
    <t>Vereda Matasano-Sector La Escuela</t>
  </si>
  <si>
    <t>Comité de Acueducto Vereda Matasano –Sector La Escuela</t>
  </si>
  <si>
    <t>Vereda Matasano Parte Alta</t>
  </si>
  <si>
    <t>Asociación de Usuarios Acueducto Veredal Matasano Parte Alta</t>
  </si>
  <si>
    <t xml:space="preserve">Vereda La Lomita </t>
  </si>
  <si>
    <t>Asociación Acueducto Lomitas- Primavera de Barbosa</t>
  </si>
  <si>
    <t>Acueducto Vereda Graciano</t>
  </si>
  <si>
    <t>Asociación de Usuarios del Acueducto y/o Alcantarillado de La Vereda Popalito (ASUAP)-Popalito</t>
  </si>
  <si>
    <t>VeredaTamborcito</t>
  </si>
  <si>
    <t>Asociación de Usuarios del Acueducto Yarumito-Tamborcito</t>
  </si>
  <si>
    <t>Corporación de Acueducto Vereda Aguas Claras Arriba</t>
  </si>
  <si>
    <t>Asociación de Usuarios del Acueducto Multiveredal La Quiebra, Dos Quebradas, Volantín y Tamborcito Barbosa “La Gota de Agua”-La Quiebra</t>
  </si>
  <si>
    <t>Asociación de Usurios del Acueducto El Venado de Las Veredas Chorrohondo y La Meseta</t>
  </si>
  <si>
    <t>Asociación  Acueducto Vereda El Guayabo de Barbosa</t>
  </si>
  <si>
    <t>Vereda La Cuesta</t>
  </si>
  <si>
    <t>Asociación de Usuarios del Acueducto El Peñasco (AUAP)-La Cuesta</t>
  </si>
  <si>
    <t>Vereda Chapa Parte Baja</t>
  </si>
  <si>
    <t>Acueducto de la Vereda El Cortado</t>
  </si>
  <si>
    <t>Acueducto Veredal La Chorrera</t>
  </si>
  <si>
    <t>La Asociación de Usuarios Acueducto Lajas-La Herradura Vereda Las Lajas</t>
  </si>
  <si>
    <t>La Asociación de Usuarios Acueducto Lajas-La Herradura Vereda La Herradura</t>
  </si>
  <si>
    <t>Vereda Pachohondo</t>
  </si>
  <si>
    <t>Comité Pro Acueductos Pachohondo</t>
  </si>
  <si>
    <t>Vereda Cuartas-El Despiste</t>
  </si>
  <si>
    <t>Asociación de Usuarios Acueducto Vereda Cuartas Sector El despiste</t>
  </si>
  <si>
    <t>Vereda Los Encenillos</t>
  </si>
  <si>
    <t>Junta Administradora Acueducto El Sesenta</t>
  </si>
  <si>
    <t>VeredaLa Chuscala</t>
  </si>
  <si>
    <t>Corrala Parte Baja</t>
  </si>
  <si>
    <t>Comité de Acueducto J.A.C. La Corrala y Corrala Parte Baja</t>
  </si>
  <si>
    <t>VeredaLa Corrala</t>
  </si>
  <si>
    <t>Vereda La Quiebra-San Francisco</t>
  </si>
  <si>
    <t>Vereda La Quiebra-Moraima</t>
  </si>
  <si>
    <t>Vereda La Quiebra-Las Juntas</t>
  </si>
  <si>
    <t>Vereda Maní del Cardal</t>
  </si>
  <si>
    <t>Vereda  Salinas-El 30</t>
  </si>
  <si>
    <t>Junta de Acción Comunal Vereda Salinas-El 30</t>
  </si>
  <si>
    <t>Vereda Salinas-Malpaso</t>
  </si>
  <si>
    <t>Asociación de Usuarios de Acueducto Alcantarillado y Otros Servicios Públicos de la Vereda El Cano E.S.P.</t>
  </si>
  <si>
    <t>La Esperanza - Palmas</t>
  </si>
  <si>
    <t>Acuatel</t>
  </si>
  <si>
    <t>Bosques de la Esperanza</t>
  </si>
  <si>
    <t>Las Brujas</t>
  </si>
  <si>
    <t>Catedral Arenales</t>
  </si>
  <si>
    <t>Chinguí - El Escobero</t>
  </si>
  <si>
    <t xml:space="preserve">El Salado </t>
  </si>
  <si>
    <t>El Socorro</t>
  </si>
  <si>
    <t>San Rafael, La Mina y El Capiro, Las Antillas</t>
  </si>
  <si>
    <t>Asomiel Rodas</t>
  </si>
  <si>
    <t>Las Palmas</t>
  </si>
  <si>
    <t>Morgan</t>
  </si>
  <si>
    <t>Urbanización Palmas Paraiso</t>
  </si>
  <si>
    <t>Asopantanillo</t>
  </si>
  <si>
    <t>El Salado, Chinguí y el Escobero</t>
  </si>
  <si>
    <t>Cristal Peñazul</t>
  </si>
  <si>
    <t>Vereda Perico</t>
  </si>
  <si>
    <t>San Pedro</t>
  </si>
  <si>
    <t>El Chocho</t>
  </si>
  <si>
    <t>Uribe Angel</t>
  </si>
  <si>
    <t>Vereda La Tablaza</t>
  </si>
  <si>
    <t>Empresa de Servicios Publicos Domiciliarios La Estrella S.A E.S.P - Planta Miraflores-La Tablaza</t>
  </si>
  <si>
    <t>Vereda  La Tablaza</t>
  </si>
  <si>
    <t>Empresa de Servicios Publicos Domiciliarios La Estrella S.A E.S.P - Planta La Culebra-La Tablaza</t>
  </si>
  <si>
    <t>Vereda  Montañita</t>
  </si>
  <si>
    <t>Empresa de Servicios Publicos Domiciliarios La Estrella S.A E.S.P - Planta La Muerte-Montañita</t>
  </si>
  <si>
    <t>Vereda  Pueblo Viejo</t>
  </si>
  <si>
    <t>Vereda Sagrada Familia</t>
  </si>
  <si>
    <t>Vereda Tierra Amarilla Parte Alta</t>
  </si>
  <si>
    <t>Asociación Comunitaria de Beneficiarios del Acueducto Vereda Tierra Amarilla Parte Alta</t>
  </si>
  <si>
    <t>Acueducto Comunitario La Corazona</t>
  </si>
  <si>
    <t>Vereda Los Gomez</t>
  </si>
  <si>
    <t>Vereda El Porvenir sector 3 o parte alta</t>
  </si>
  <si>
    <t>Verda Los Gomez (Barrio Nuevo)</t>
  </si>
  <si>
    <t>Verda El Ajizal (Los Florianos)</t>
  </si>
  <si>
    <t>Junta Administradora acueducto vereda El Ajizal sector Los Florianos</t>
  </si>
  <si>
    <t>Vereda El Llano-Corregimiento Santa Elena</t>
  </si>
  <si>
    <t>Vereda El Mazo-Corregimiento Santa Elena</t>
  </si>
  <si>
    <t>Vereda Piedragorda-Corregimiento Santa Elena</t>
  </si>
  <si>
    <t>Verda Media Luna-Corregimiento Santa Elena</t>
  </si>
  <si>
    <t>Verda Piedras blancas-Corregimiento Santa Elena</t>
  </si>
  <si>
    <t>Manantial Ana Diaz-Corregimiento Altavista</t>
  </si>
  <si>
    <t>Vereda San Jose de Manzanillo-Corregimiento Altavista</t>
  </si>
  <si>
    <t>Vereda El Salado-Corregimiento San Antonio de Prado</t>
  </si>
  <si>
    <t>Vereda La Florida-Corregimiento San Antonio de Prado</t>
  </si>
  <si>
    <t>Verda El Llano-Corregimiento San Cristobal</t>
  </si>
  <si>
    <t>Vereda Boqueron-Corregimiento San Cristobal</t>
  </si>
  <si>
    <t>Vereda El Manzanillo-Corregimiento Altavista</t>
  </si>
  <si>
    <t>Sopetrán</t>
  </si>
  <si>
    <t>ñ</t>
  </si>
  <si>
    <t>0.0 - 5 %: 
Sin Riesgo</t>
  </si>
  <si>
    <t>5.1  - 14 %:  Riesgo Bajo</t>
  </si>
  <si>
    <t>14.1  -  35 % Riesgo Medio</t>
  </si>
  <si>
    <t>35.1 - 80 %  Alto</t>
  </si>
  <si>
    <t>80.1 -  100 %:  Inviable Sanitariamente</t>
  </si>
  <si>
    <t>Total  Muestras</t>
  </si>
  <si>
    <t xml:space="preserve">Total Muetras </t>
  </si>
  <si>
    <t>Total de Muestras con Riesgo</t>
  </si>
  <si>
    <t>Corregimiento Puerto Venus</t>
  </si>
  <si>
    <t>Asociacion de Usuarios del Acueducto Corregimiento Puerto Venus</t>
  </si>
  <si>
    <t>Vereda La Balsora</t>
  </si>
  <si>
    <t>Junta Administradora Acueducto Balsora</t>
  </si>
  <si>
    <t>Vereda Mangas</t>
  </si>
  <si>
    <t>Junta Administradora Acueducto de Las Mangas</t>
  </si>
  <si>
    <t>Vereda Puente Linda</t>
  </si>
  <si>
    <t>Vereda El Jazmin</t>
  </si>
  <si>
    <t>Junta Administradora Acueducto El Llano</t>
  </si>
  <si>
    <t>Junta Administradora Acueducto La Hermosa</t>
  </si>
  <si>
    <t>Vereda Morro Azul</t>
  </si>
  <si>
    <t>Junta Administradora Acueducto Morro Azul</t>
  </si>
  <si>
    <t>Junta Administradora Acueducto Pedregal- Quebrada Negra</t>
  </si>
  <si>
    <t>Vereda Santa Rosa</t>
  </si>
  <si>
    <t>Junta Administradora Acueducto Santa Rosa</t>
  </si>
  <si>
    <t>Vereda  Guamal</t>
  </si>
  <si>
    <t>Junta de Acción Comunal La Cascada-Comité de Aguas y Acueducto</t>
  </si>
  <si>
    <t>PROGRAMA VIGILANCIA DE LA CALIDAD DEL AGUA PARA CONSUMO HUMANO Y USO RECREATIVO</t>
  </si>
  <si>
    <t>PROGRAMA VIGILANCIA DE LA CALIDAD DEL AGUA DE CONSUMO HUMANO Y USO RECREATIVO</t>
  </si>
  <si>
    <t>Resume / Nivel de Riesgo</t>
  </si>
  <si>
    <t>N° Muestras con Riesgo</t>
  </si>
  <si>
    <t>Resumen / Nivel de Riesgo</t>
  </si>
  <si>
    <t>Junta Administradora De Acueductos La Mina</t>
  </si>
  <si>
    <t>Junat de Acción Comunal Vereda La Primavera</t>
  </si>
  <si>
    <t>Junta de Administradora de Acuedcucto Chorros Blancos Nº 1</t>
  </si>
  <si>
    <t>Junta Administradora de Acueducto Llanadas</t>
  </si>
  <si>
    <t>Junta de Acción Comunal La Travesía</t>
  </si>
  <si>
    <t>Junta Administradora de Acueducto La Colmena</t>
  </si>
  <si>
    <t>Junta Administradora de Acueductos Plan de Las Rosas</t>
  </si>
  <si>
    <t>Junta Administradora de Acueducto Cañaveral</t>
  </si>
  <si>
    <t>Junta Administradora de Acueducto La Chiquita</t>
  </si>
  <si>
    <t>Resumen/ Nivel de Riesgo</t>
  </si>
  <si>
    <t>Junta de Acción Comunal  Las Lomas</t>
  </si>
  <si>
    <t>Junta de Acción Comunal Los Naipes</t>
  </si>
  <si>
    <t>Junta de Acción Comunal San Julian de Barbacoas</t>
  </si>
  <si>
    <t>Junta de Acción Comunal-La Loma del Sauce</t>
  </si>
  <si>
    <t>Junta de Acción Comunal El Agrio</t>
  </si>
  <si>
    <t>Junta de Acción Comunal Barbacoas</t>
  </si>
  <si>
    <t>Junta de Acción Comunal CTO Los Llanos</t>
  </si>
  <si>
    <t>Junta de Acción Comunal Las Faldas</t>
  </si>
  <si>
    <t>Junta de Acción Comunal San José</t>
  </si>
  <si>
    <t>Junta de Acción Comunal Las Faldas del Café</t>
  </si>
  <si>
    <t>Junta de Acción Comunal San Pablo-La Escuela</t>
  </si>
  <si>
    <t>Junta de Acción Comunal San Pablo-El Filo</t>
  </si>
  <si>
    <t>Junta de Acción Comunal La Antigua</t>
  </si>
  <si>
    <t>Junta de Acción Comunal Romeral</t>
  </si>
  <si>
    <t>Junta de Acción Comunal El Parámo</t>
  </si>
  <si>
    <t>Junta de Acción Comunal Llano del Pueblo</t>
  </si>
  <si>
    <t>Junta de Acción Comunal Italia 90</t>
  </si>
  <si>
    <t>Junta de Acción Comunal San Julián</t>
  </si>
  <si>
    <t>Junta Administradora de Acueducto Jerigua-Escuela</t>
  </si>
  <si>
    <t>Junta Administradora de Acueducto Jerigua-Pojonal</t>
  </si>
  <si>
    <t>Junta de Acción Comunal Guayabal La Falda</t>
  </si>
  <si>
    <t>Junta de Acción Comunal Popal</t>
  </si>
  <si>
    <t>Junta de Acción Comunal La Guadua</t>
  </si>
  <si>
    <t>Junta de Acción Comunal Santa Agueda</t>
  </si>
  <si>
    <t>Junta de Acción Comunal Bellavista</t>
  </si>
  <si>
    <t>Junta de Acción Comunal Renegado Valle</t>
  </si>
  <si>
    <t>Junta de Acción Comunal Guayabal de Pena</t>
  </si>
  <si>
    <t>Junta de Acción Comunal CTO Lomitas</t>
  </si>
  <si>
    <t>Junta Administradora Acueducto La Vega del Inglés</t>
  </si>
  <si>
    <t>Junta de Acción Comunal Toldas</t>
  </si>
  <si>
    <t>Junta de Acción Comunal La Nueva Llanada</t>
  </si>
  <si>
    <t>Junta de Acción Comunal San Juan de Renegado</t>
  </si>
  <si>
    <t>Junta Administradora del Acueducto  Vereda  Cascaron</t>
  </si>
  <si>
    <t>Junta de Acción Comunal Vereda El Pital</t>
  </si>
  <si>
    <t>Junta de Acción Comunal Vereda Sardinas</t>
  </si>
  <si>
    <t>Junta de Acción  Comunal Quebradona</t>
  </si>
  <si>
    <t xml:space="preserve">Junta de Acción Comunal Vereda Santa Isabe </t>
  </si>
  <si>
    <t>Junta de Acción Comunal Vereda Canalones</t>
  </si>
  <si>
    <t>Junta de Acción Comunal Acueducto Vereda El Bagre</t>
  </si>
  <si>
    <t>Junta Administradora del Acueducto Vereda  El 62</t>
  </si>
  <si>
    <t>Junta de Acción Comunal Vereda Canutillo</t>
  </si>
  <si>
    <t>Acueducto La Cuchilla-Vereda Corrales</t>
  </si>
  <si>
    <t>Junta de Acción Comunal Acueducto Asoflan-Corregimiento la Floresta</t>
  </si>
  <si>
    <t>Junta de Acción Comunal Acueducto El Ingenio</t>
  </si>
  <si>
    <t>Acueducto Alto de Dolores</t>
  </si>
  <si>
    <t>Junta Administradora de Acueducto Guardasol</t>
  </si>
  <si>
    <t>N° de Muestras</t>
  </si>
  <si>
    <t xml:space="preserve"> N° de Muestras</t>
  </si>
  <si>
    <t>Barrio Cristo Rey</t>
  </si>
  <si>
    <t>Asociación Comunitaria del Acueducto del Barrio Cristo Rey</t>
  </si>
  <si>
    <t>Vereda Quebrada del Medio</t>
  </si>
  <si>
    <t>Junta de Acción Comunal Vereda Quebrada del Medio</t>
  </si>
  <si>
    <t>Vereda El Respaldo</t>
  </si>
  <si>
    <t>Junta de Acción Comunal Vereda El Respaldo</t>
  </si>
  <si>
    <t>Acueducto Multiveredal Acuerrico</t>
  </si>
  <si>
    <t>Vereda la cabaña</t>
  </si>
  <si>
    <t>Vereda El Alto Del Roble</t>
  </si>
  <si>
    <t>Asociación Usuarios Acueducto Multiveredal La Cristalina-El Alto Del Roble</t>
  </si>
  <si>
    <t>Vereda San Luís</t>
  </si>
  <si>
    <t>Asociación Usuarios Acueducto Multiveredal La Cristalina-San Luís</t>
  </si>
  <si>
    <t>Asociación Usuarios Acueducto Multiveredal La Cristalina-Caracolal</t>
  </si>
  <si>
    <t>Vereda El Café</t>
  </si>
  <si>
    <t>Asociación Usuarios Acueducto Multiveredal La Cristalina-El Café</t>
  </si>
  <si>
    <t>Asociación usuarios Acueducto Multiveredal La Cristalina-Bellavista</t>
  </si>
  <si>
    <t>Asociación Usuarios Acueducto Multiveredal La Cristalina-La Aldea</t>
  </si>
  <si>
    <t>Asociación Usuarios Acueducto Multiveredal La Cristalina-Llano Grande</t>
  </si>
  <si>
    <t>Asociación Usuarios Acueducto Multiveredal La Cristalina-Santa Barbara</t>
  </si>
  <si>
    <t>Vereda La Aguadita</t>
  </si>
  <si>
    <t>Asociación Usuarios Acueducto Multiveredal La Cristalina-La Aguadita</t>
  </si>
  <si>
    <t>Asociación usuarios Acueducto Multiveredal La Cristalina-La Loma</t>
  </si>
  <si>
    <t xml:space="preserve">Vereda Uvital </t>
  </si>
  <si>
    <t>Asociación de Usuarios Acueducto Multiveredal La Berrionda Cestillal-Uvital</t>
  </si>
  <si>
    <t>Junta Administradora Acueducto Corregimiento de Cestillal-cestillal</t>
  </si>
  <si>
    <t>Corremiento Camparrusia</t>
  </si>
  <si>
    <t>Junta de Acción Comunal Corremiento Camparrusia</t>
  </si>
  <si>
    <t xml:space="preserve">Vereda La Florida </t>
  </si>
  <si>
    <t>Junta de Accion Comunal  vereda La Florida</t>
  </si>
  <si>
    <t>Vereda El Encierro</t>
  </si>
  <si>
    <t>Junta de Accion Comunal vereda  El Encierro</t>
  </si>
  <si>
    <t>Vereda Rioverde</t>
  </si>
  <si>
    <t>Junta de Accion Comunal Acueducto Multiveredal San Andrés Murindó-Rioverde</t>
  </si>
  <si>
    <t>sierrita parte baja</t>
  </si>
  <si>
    <t>Junta de Accion  Comunal</t>
  </si>
  <si>
    <t>Vereda el balso p.A.</t>
  </si>
  <si>
    <t>Junta de Accion comunal</t>
  </si>
  <si>
    <t>Acueducto El Crucero</t>
  </si>
  <si>
    <t>Vereda Naranjal Poblanco</t>
  </si>
  <si>
    <t>Asociacion de Usuarios del Acueducto Vereda Naranjal Poblanco planta san mateo el volcan</t>
  </si>
  <si>
    <t>Asociacion de Usuarios del Acueducto Vereda Naranjal Poblanco planta sierra morena</t>
  </si>
  <si>
    <t>Vereda Tacamocho</t>
  </si>
  <si>
    <t>Empresa de Servicios Publicos de Tarso S.A E.S.P. Vereda Tacamocho</t>
  </si>
  <si>
    <t>Vereda El Morro Cauca Viejo</t>
  </si>
  <si>
    <t>Operadores de Servicios S.A E.S.P -El Morro Cauca Viejo</t>
  </si>
  <si>
    <t>Empresa de Servicios Públicos de Tarso S.A E.S.P.-La Arboleda</t>
  </si>
  <si>
    <t>Empresa de Servicios Públicos de Tarso S.A E.S.P.-La Linda</t>
  </si>
  <si>
    <t>Vereda  Parnaso</t>
  </si>
  <si>
    <t>Empresa de Servicios Públicos de Tarso S.A E.S.P.-Parnaso</t>
  </si>
  <si>
    <t>Vereda El Palmar</t>
  </si>
  <si>
    <t>Asociacion Usuarios Acueducto El Palmar</t>
  </si>
  <si>
    <t>Asociacion de Usuarios Acueducto Veredal "El Guayabo"</t>
  </si>
  <si>
    <t>Vereda La Paz</t>
  </si>
  <si>
    <t>Asociacion Usuarios de Servicios Públicos Verda La Paz</t>
  </si>
  <si>
    <t>Localidad Brisas de San Juan</t>
  </si>
  <si>
    <t xml:space="preserve">Asociación de Usuarios del Acueducto Multiveredal </t>
  </si>
  <si>
    <t>Vereda Valle Humbria</t>
  </si>
  <si>
    <t>Asociación de Usuarios del Acueducto Multiveredal del Municipio de Andes - Vereda Valle Humbria</t>
  </si>
  <si>
    <t xml:space="preserve">Asociación de Usuarios del Acueducto Multiveredal del Municipio de Andes - Vereda California </t>
  </si>
  <si>
    <t>Junta de Accion Comunal la Esperanza</t>
  </si>
  <si>
    <t>Vereda La Pó</t>
  </si>
  <si>
    <t>Acueducto Tagual La Pó</t>
  </si>
  <si>
    <t>Sector Las Violetas</t>
  </si>
  <si>
    <t>Junta de Accción Comunal Vereda El Tapón</t>
  </si>
  <si>
    <t>Junta Accion Comunal Vereda El Choco Los Mangos</t>
  </si>
  <si>
    <t>Junta Acción Comunal Vereda El Choico La Aurora</t>
  </si>
  <si>
    <t>Junta Accion Comunal Vereda Morritos</t>
  </si>
  <si>
    <t>Acueducto multiveredal   San Juan La peña</t>
  </si>
  <si>
    <t>Junta Accion Comunal Choco Campo Alegre</t>
  </si>
  <si>
    <t>Vereda Luis Arenas</t>
  </si>
  <si>
    <t>Asociación de Usuarios de Acueducto El Chuscal - Luis Arenas.</t>
  </si>
  <si>
    <t>Vereda el Silencio La Cuchilla</t>
  </si>
  <si>
    <t>Junta de Accion Comunal Vereda El Silencio La Cuchilla</t>
  </si>
  <si>
    <t>vereda la compañía (8005)</t>
  </si>
  <si>
    <t>Acueducto Alto de La Compañía-La Compañía</t>
  </si>
  <si>
    <t>vereda el porvenir (4001)</t>
  </si>
  <si>
    <t>Acueducto Multiveredal Piedragorda, La Cabaña, Peñolcito, Guamal, Potrerito-Porvenir</t>
  </si>
  <si>
    <t>Vereda Campanito Central</t>
  </si>
  <si>
    <t>Junta de Accion Comunal Campanito Central</t>
  </si>
  <si>
    <t>Vereda Pio X-Vuelta de la Campana y Las Chambas</t>
  </si>
  <si>
    <t>Junta Administradora Acueducto Vereda Pio X-Vuelta de la Campana y Las Chambas</t>
  </si>
  <si>
    <t xml:space="preserve">Vereda El Chochal </t>
  </si>
  <si>
    <t xml:space="preserve">Asociación de Usuarios del Acueducto Multiveredal Playon-Chochal Vereda El  Chochal </t>
  </si>
  <si>
    <t>Asociacion de usuarios del acueducto multiveredal el Tambo, vereda La Pava</t>
  </si>
  <si>
    <t>Vereda Tocaima</t>
  </si>
  <si>
    <t>Asociacion de Ususarios del Acueducto Multiveredal  El Tambo Vereda Tocaima</t>
  </si>
  <si>
    <t>Vereda Piedras Abajo</t>
  </si>
  <si>
    <t>Asociacion de Ususarios del Acueducto Multiveredal  El Tambo Vereda Piedras Abajo.</t>
  </si>
  <si>
    <t>Vereda Rivera La Linda</t>
  </si>
  <si>
    <t>Sector Las Brisas-El quemado</t>
  </si>
  <si>
    <t>Sector Las Brisas-la linda</t>
  </si>
  <si>
    <t>Asociacion de Usuarios del Acueducto Multiveredal La Piedra La Peña y Los Naranjos-Los Naranjos</t>
  </si>
  <si>
    <t>Asociacion de Usuarios del Acueducto Multiveredal La Piedra La Peña y Los Naranjos-La Peña</t>
  </si>
  <si>
    <t>Asociación de Usuarios de Acueducto y Alcantarillado de La Vereda San Eugenio Municipio de Barbosa Acueducto San Eugenio-La Aguada</t>
  </si>
  <si>
    <t>Asociación de Usuarios de Acueducto y Alcantarillado de La Vereda San Eugenio Municipio de Barbosa Acueducto San Eugenio-El Salado</t>
  </si>
  <si>
    <t>Vallecitos-Dos Quebradas</t>
  </si>
  <si>
    <t>Junta Pro-Acueducto Vallecitos-Dos Quebradas</t>
  </si>
  <si>
    <t>Vereda Platanito Parte Alta</t>
  </si>
  <si>
    <t>Asociación de Usuarios de La Vereda Platanito-Platanito Parte Alta</t>
  </si>
  <si>
    <t>Asociación de Usuarios de La Vereda Platanito-El Salado</t>
  </si>
  <si>
    <t>Asociación de Usuarios del Acueducto Multiveredal Aguas Cristalinas (AUAMAC)-El Cortado</t>
  </si>
  <si>
    <t>Asociación de Usuarios del Acueducto Multiveredal Aguas Cristalinas (AUAMAC)-Isaza</t>
  </si>
  <si>
    <t>Vereda Los Isaza</t>
  </si>
  <si>
    <t>Asociación de Usuarios del Acueducto Multiveredal Aguas Cristalinas (AUAMAC)-Corrientes</t>
  </si>
  <si>
    <t>Asociación de Usuarios del Acueducto Multiveredal Aguas Cristalinas (AUAMAC)-El Salado</t>
  </si>
  <si>
    <t>Asociación de Usuarios de Acueducto y Alcantarillado de La Vereda San Eugenio Municipio de Barbosa Acueducto San Eugenio</t>
  </si>
  <si>
    <t>Asociación de Usuarios del Acueducto Multiveredal Aguas Cristalinas (AUAMAC)-San Eugenio</t>
  </si>
  <si>
    <t>Asociación de Usuarios del Acueducto y/o Alcantarillado del Paraiso Corregimiento del Hatillo - El paraiso</t>
  </si>
  <si>
    <t>sociación de Usuarios del Acueducto y/o Alcantarillado del Paraiso Corregimiento del Hatillo</t>
  </si>
  <si>
    <t>Vereda  El Hoyo</t>
  </si>
  <si>
    <t>Acueducto Multiveredal El Viento y El Hoyo  Parte Alta</t>
  </si>
  <si>
    <t>Vereda  El Viento</t>
  </si>
  <si>
    <t>Vereda  Yarumito</t>
  </si>
  <si>
    <t>Asociación de Usuarios del Acueducto Yarumito-Tamborcito-Vereda  Yarumito</t>
  </si>
  <si>
    <t>Vereda Chorrondo</t>
  </si>
  <si>
    <t>Asociación de Usuarios de La Vereda Platanito-Chorrondo</t>
  </si>
  <si>
    <t>Vereda La Calda</t>
  </si>
  <si>
    <t>Urbanización Villa Roca - Vereda Buenos Aires</t>
  </si>
  <si>
    <t>Comité Empresarial del Acueducto Villa Roca</t>
  </si>
  <si>
    <t>Acueducto- Dos Quebradas</t>
  </si>
  <si>
    <t>Vereda Volantín</t>
  </si>
  <si>
    <t>Asociación de Usuarios del Acueducto Multiveredal La Quiebra, Dos Quebradas, Volantín y Tamborcito Barbosa “La Gota de Agua”-Volantín</t>
  </si>
  <si>
    <t>Vereda Tamborcito</t>
  </si>
  <si>
    <t>Asociación de Usuarios del Acueducto Multiveredal La Quiebra, Dos Quebradas, Volantín y Tamborcito Barbosa “La Gota de Agua”-Tamborcito</t>
  </si>
  <si>
    <t>Vereda El Cabuyal</t>
  </si>
  <si>
    <t>Asociación Comunitaria del Acueducto Vereda El Cabuyal</t>
  </si>
  <si>
    <t>Vereda Peñolcito Parte Media y Alta</t>
  </si>
  <si>
    <t>Asociación Junta Administradora del Acueducto Vereda Peñolcito Parte Media Y Alta</t>
  </si>
  <si>
    <t>Vereda Curazao</t>
  </si>
  <si>
    <t>Asociación de Afiliados del Acueducto Curazao (ASOACUR)</t>
  </si>
  <si>
    <t>Vereda la Veta -El Pinar</t>
  </si>
  <si>
    <t>La Productora Marginal de Spd Acueducto Vereda La Veta-El Pinar</t>
  </si>
  <si>
    <t>Vereda Peñolcito Parte Baja</t>
  </si>
  <si>
    <t>Junta Administradora del Acueducto Vereda de Peñolcito Parte Baja</t>
  </si>
  <si>
    <t>Vereda  Zarzal La Luz</t>
  </si>
  <si>
    <t>Corporación Acueducto Veredal Zarzal La Luz - AVEZA</t>
  </si>
  <si>
    <t>Asociación Junta Administradora Acueducto Vereda Sabaneta</t>
  </si>
  <si>
    <t>Vereda Quebrada Arriba  - Sector Montañuela</t>
  </si>
  <si>
    <t>Junta Administradora de Usuarios del Acueducto La Montañuela</t>
  </si>
  <si>
    <t>Alto de la Virgen de la Vereda Quebrada Arriba</t>
  </si>
  <si>
    <t>Asociación Administradora del Acueducto Maria Santificadora</t>
  </si>
  <si>
    <t>Acueducto La Cuchilla-Quebrada Arriba</t>
  </si>
  <si>
    <t xml:space="preserve">Vereda Quebrada Arriba </t>
  </si>
  <si>
    <t>Asociación de Usuarios de Acueducto Multiveredal  "Jose Antonio Correa ESP"-Quebrada Arriba</t>
  </si>
  <si>
    <t xml:space="preserve">Vereda Quebrada Arriba, La Chuscala </t>
  </si>
  <si>
    <t>Corporación Acueducto Multiveredal La Chuscala-Quebrada Arriba</t>
  </si>
  <si>
    <t>Barrio La Maria-Canoas</t>
  </si>
  <si>
    <t>Productora Marginal de Servicios Públicos Domiciliarios Acueducto Barrio Maria-Canoas</t>
  </si>
  <si>
    <t>Corporación Multiveredal Salinas, El Convento, El Llano Seed - Cabuyal</t>
  </si>
  <si>
    <t>Asociación de Usuarios Acueducto La Tolda-La veta</t>
  </si>
  <si>
    <t>Vereda la Veta</t>
  </si>
  <si>
    <t>Asociación de Usuarios del Acueducto Veredal La Veta  Centro(AVEC )-La Veta </t>
  </si>
  <si>
    <t>Vereda Cabuyal Sector Las Margaritas</t>
  </si>
  <si>
    <t>Acueducto Las Margaritas-El Cabuyal</t>
  </si>
  <si>
    <t>Vereda Granizal Parte Baja</t>
  </si>
  <si>
    <t>Junta de Accion Comunal Granizal Parte Baja</t>
  </si>
  <si>
    <t>Carriquí</t>
  </si>
  <si>
    <t>Chinguí N°1</t>
  </si>
  <si>
    <t>El Escobero, los Rodas</t>
  </si>
  <si>
    <t>Los Rodas</t>
  </si>
  <si>
    <t>Vereda San Diego</t>
  </si>
  <si>
    <t>Asociación Comunitaria Acueducto Vereda San Diego</t>
  </si>
  <si>
    <t>Asociación Campesina No Nacional de Usuarios del Acueducto y Alcantarillado de la Vereda Portachuelo</t>
  </si>
  <si>
    <t>Vereda La Holanda Parte Baja</t>
  </si>
  <si>
    <t>Asociación Campesina No Nacional de Usuarios del Acueducto y Alcantarillado de la Vereda Portachuelo Planta La Holanda Parte Baja</t>
  </si>
  <si>
    <t>-</t>
  </si>
  <si>
    <t>Vereda  Manga Arriba-Etapa I</t>
  </si>
  <si>
    <t>Asociación de Usuarios del  Acueducto Comunitario Manga Arriba Etapa I Malpaso</t>
  </si>
  <si>
    <t>Asociación Ecosostenible Vereda La Meseta</t>
  </si>
  <si>
    <t>Asociación de Usuarios Acueducto Vereda La Calera</t>
  </si>
  <si>
    <t>Asociación de Usuarios del Acueducto Vereda Manga Arriba La Loma</t>
  </si>
  <si>
    <t>Vereda Juan Cojo-El Tábano I</t>
  </si>
  <si>
    <t xml:space="preserve">Asociación de Usuarios Acueducto Juan Cojo-Las Cuchillas Planta El Tábano I      </t>
  </si>
  <si>
    <t>Vereda Juan Cojo-El Tigre</t>
  </si>
  <si>
    <t>Asociación de Usuarios Acueducto Juan Cojo-Las Cuchillas Planta El Tigre</t>
  </si>
  <si>
    <t>Asociación de Usuarios Veredal Mercedes Abrego</t>
  </si>
  <si>
    <t>Vereda  El Totumo</t>
  </si>
  <si>
    <t xml:space="preserve">Asociación de Usuarios del Acueducto Multiveredal  José Antonio Correa </t>
  </si>
  <si>
    <t xml:space="preserve">Asociación de Usuarios Acueducto Vereda Encenillos   </t>
  </si>
  <si>
    <t xml:space="preserve">Asociación Comunitaria de Acueducto Vereda La Palma                      </t>
  </si>
  <si>
    <t>Asociación de Usuarios Acueducto Vereda El Cano</t>
  </si>
  <si>
    <t>Asociación de Usuarios de La Vereda San Andrés</t>
  </si>
  <si>
    <t>Asociación de Usuarios de Acueducto y Alcantarillado Multiveredal San Esteban</t>
  </si>
  <si>
    <t>Vereda Juan Cojo-El Tábano II</t>
  </si>
  <si>
    <t xml:space="preserve">Asociación de Usuarios Acueducto Juan Cojo-Las Cuchillas Planta El Tábano II      </t>
  </si>
  <si>
    <t>Vereda Pantano Frio</t>
  </si>
  <si>
    <t>Asociación de Usuarios del Acueducto Multiveredal El Roble- Planta Pantano Frío</t>
  </si>
  <si>
    <t>Asociación  de Usuarios de Acueducto Multiveredal Lomatica</t>
  </si>
  <si>
    <t>Vereda La Toma</t>
  </si>
  <si>
    <t>Asociación de Usuarios del Acueducto Multiveredal El Roble- Planta La Toma</t>
  </si>
  <si>
    <t>Vereda El Paraíso</t>
  </si>
  <si>
    <t>Asociación de Usuarios de La Vereda Paraíso</t>
  </si>
  <si>
    <t>Asociación Comunitaria Acueducto Vereda San Diego Sector 1</t>
  </si>
  <si>
    <t>Vereda Jamundi - El barro</t>
  </si>
  <si>
    <t>Asociacion de Usuarios del Acueducto Multiveredal Jamundi - El barro</t>
  </si>
  <si>
    <t>Acueducto Comunitario Sector Los Yepes vereda Los Gómez</t>
  </si>
  <si>
    <t>Acueducto Veredal Aguas Claras Olivares (AVACO) vereda Los Olivares</t>
  </si>
  <si>
    <t xml:space="preserve">Asociación Administradora de Acueducto La Esperanza vereda El Porvenir-Sector 3 </t>
  </si>
  <si>
    <t>Asociación de Usuarios Acueducto vereda El Pedregal-Parte Alta</t>
  </si>
  <si>
    <t xml:space="preserve">Junta Administradora Acueducto  Sector Los Florianos Vereda Los Gómez.  </t>
  </si>
  <si>
    <t>Junta Administradora de Acueducto Sector Barrio Nuevo vereda Los Gómez</t>
  </si>
  <si>
    <t>Junta Administradora de Acueducto Veredal Comunidad Unida por el Mejoramiento del Agua (CUMA) -vereda Los Olivares</t>
  </si>
  <si>
    <t>Vereda Los Olivares Sector Avaco</t>
  </si>
  <si>
    <t>Vereda Los Olivares Sector Cuma</t>
  </si>
  <si>
    <t>Verda los Gomez sector los florianos</t>
  </si>
  <si>
    <t>Corregimiento Altavista Vereda la perla.</t>
  </si>
  <si>
    <t>Vereda El Yolombo-Corregimiento San Cristobal</t>
  </si>
  <si>
    <t>Verda La Palma-Corregimiento San Cristobal</t>
  </si>
  <si>
    <t>Vereda San Josel-Corregimiento de San Antonio de Prado</t>
  </si>
  <si>
    <t>Vereda El Vergel-Corregimiento San Antonio de Prado</t>
  </si>
  <si>
    <t>Corporacion de Usuarios de Acueducto y Alcantarillado de La Vereda Pan de Azucar del Municipio de Sabaneta</t>
  </si>
  <si>
    <t xml:space="preserve">Vereda Las Palmas </t>
  </si>
  <si>
    <t>Planta de Tratamiento Las Palmas</t>
  </si>
  <si>
    <t>Asociación Comunitaria Pasion por Casaverde</t>
  </si>
  <si>
    <t>Junta De Acción Comunal Vereda El encanto</t>
  </si>
  <si>
    <t xml:space="preserve">Junta Accion Comunal Barrio Pueblo nuevo </t>
  </si>
  <si>
    <t>Junta Acción Comunal Vereda Eucalipto</t>
  </si>
  <si>
    <t>Junta de Acción Comunal Vereda Nueva Esperanza</t>
  </si>
  <si>
    <t>Junta Acción comunal El Silencio</t>
  </si>
  <si>
    <t>Asociación de Usuarios de Acueducto Multiveredal Las Auras</t>
  </si>
  <si>
    <t>Llanadas</t>
  </si>
  <si>
    <t>Junta de Accion Comunal Llanadas</t>
  </si>
  <si>
    <t>Aguacatal</t>
  </si>
  <si>
    <t>Junta de Accion Comunal Aguacatal</t>
  </si>
  <si>
    <t>CORREGIMIENTO LA HERRUDURA</t>
  </si>
  <si>
    <t>ACUEDUCTO VEREDAL LA HERRADURA</t>
  </si>
  <si>
    <t>VEREDA LA PESCADORA</t>
  </si>
  <si>
    <t>ACUEDUCTO VEREDAL LA PESCADORA</t>
  </si>
  <si>
    <t>VEREDA LA QUIEBRA</t>
  </si>
  <si>
    <t>ASOCIACIÓN DE USUARIOS Y SUSCRIPTORES ACUEDUCTO VEREDA LA QUIEBRA</t>
  </si>
  <si>
    <t>VEREDA LA QUIEBRA (SECTOR LA CUCHILLA Y PATIO BONITO)</t>
  </si>
  <si>
    <t>ACUEDUCTO VEREDAL LA CUCHILLA Y PATIO BONITO</t>
  </si>
  <si>
    <t>Junta de Acción Comunal Vereda lopia-  Anta</t>
  </si>
  <si>
    <t>Junta de Acción Comunal vereda El Mohan - Dabeiba Viejo</t>
  </si>
  <si>
    <t>Junta de Acción Comunal Vereda Llanogrande Chimiado</t>
  </si>
  <si>
    <t xml:space="preserve">Junta de Acción Comunal vereda llano de cruces-Corregimiento Cruces </t>
  </si>
  <si>
    <t>Junta de Acción Comunal Corregimiento San José de Urama</t>
  </si>
  <si>
    <t>Asociación de Usuarios AcueduCorregimiento El Potrero</t>
  </si>
  <si>
    <t>Asociación del Usuarios del AcueduCorregimiento Corregimiento La Merced Del Playón</t>
  </si>
  <si>
    <t>Junta Administradora de AcueduCorregimiento Corregimiento San Diego</t>
  </si>
  <si>
    <t>Junta de Accion  Comunal  La Hacienda</t>
  </si>
  <si>
    <t xml:space="preserve">Asociación de usuarios acueducto Malvazá </t>
  </si>
  <si>
    <t xml:space="preserve">Vereda El ventiadero </t>
  </si>
  <si>
    <t>Junta De Accion Comunal Vereda El Ventiadero</t>
  </si>
  <si>
    <t>Vereda San Pablos</t>
  </si>
  <si>
    <t>corregimiento Jeringua</t>
  </si>
  <si>
    <t xml:space="preserve">Junta Accion Comunal de Jerigua  </t>
  </si>
  <si>
    <t xml:space="preserve">Junta de Accion Comunal la Candelaria </t>
  </si>
  <si>
    <t>Vereda la candelaria</t>
  </si>
  <si>
    <t>Villa Nueva</t>
  </si>
  <si>
    <t>Junta Acción comunal p</t>
  </si>
  <si>
    <t>Asociación de Usuarios del Acueducto Multiveredal del Municipio de Andes - Vereda Campamento</t>
  </si>
  <si>
    <t xml:space="preserve">Urbano andes </t>
  </si>
  <si>
    <t>Vereda El Ventiadero</t>
  </si>
  <si>
    <t>Asociacion de usuarios del acueducto El Ventiadero</t>
  </si>
  <si>
    <t>Junta Accion Comunal Choco Choco</t>
  </si>
  <si>
    <t>Junta Accion Comunal Palmirita</t>
  </si>
  <si>
    <t>Junta de Accion Comunal Vereda La Veta</t>
  </si>
  <si>
    <t>Junta Aaccion comunal Buenos Aires</t>
  </si>
  <si>
    <t xml:space="preserve">Vereda San Juan </t>
  </si>
  <si>
    <t>Acueducto Multiveredal  San Juan San Juan</t>
  </si>
  <si>
    <t xml:space="preserve">Junta Accion Comunal Vereda San Antonio </t>
  </si>
  <si>
    <t>Junta Accion Comunal El Higueron</t>
  </si>
  <si>
    <t>Junta de Accion Comunal Vereda La Chorrera</t>
  </si>
  <si>
    <t>Vereda Vahitos - sector manuelito</t>
  </si>
  <si>
    <t>Junta de Acción Comunal Vahitos -  Sector Manuelito</t>
  </si>
  <si>
    <t>Junta Administradora  de Acueducto Vereda Las Milagrosa</t>
  </si>
  <si>
    <t>Asociación de Suscriptores del Acueducto Hondita Hojas Anchas del Municipio de Guarne ASACUHAN –La Honda</t>
  </si>
  <si>
    <t>Junta accion comunal</t>
  </si>
  <si>
    <t>Junta de accion comunal</t>
  </si>
  <si>
    <t>Sector Aeropuerto</t>
  </si>
  <si>
    <t>Asociación de Usuarios del Acueducto Rural Sajonia Alto de Vallejo E.S.P.-ARSA E.S.P.-Aeropuerto</t>
  </si>
  <si>
    <t>Corporacion  Civica Acueducto Santa Teresa-Sistema 1</t>
  </si>
  <si>
    <t>Corporación Aguas del Mirador-La Quiebra</t>
  </si>
  <si>
    <t>Corporacion  Civica Acueducto Santa Teresa-Sistema 2</t>
  </si>
  <si>
    <t>VeredaTablacito</t>
  </si>
  <si>
    <t>Asociación Acueducto Tablacito</t>
  </si>
  <si>
    <t>Vereda Cuatro Esquinas</t>
  </si>
  <si>
    <t>Asociación Junta de Acueducto y Alcantarillado Cuatro Esquinas</t>
  </si>
  <si>
    <t xml:space="preserve"> Vereda La Mosquita</t>
  </si>
  <si>
    <t>Asociación de Suscriptores Aguas La Chorrera-La Mosquita</t>
  </si>
  <si>
    <t>Asociación de Usuarios del Acueducto Pontezuela</t>
  </si>
  <si>
    <t>Vereda Cabeceras</t>
  </si>
  <si>
    <t>Aguas de Llano Grande-Cabeceras</t>
  </si>
  <si>
    <t>Cabecera Planta 1</t>
  </si>
  <si>
    <t>Asociación del Acueducto Cabeceras de Llanogrande-Planta I</t>
  </si>
  <si>
    <t>Cabecera Planta 2</t>
  </si>
  <si>
    <t>Asociación del Acueducto Cabeceras de Llanogrande-Planta II</t>
  </si>
  <si>
    <t>Cabecera Planta 3</t>
  </si>
  <si>
    <t>Asociación del Acueducto Cabeceras de Llanogrande-Planta III</t>
  </si>
  <si>
    <t>Vereda La Convencion</t>
  </si>
  <si>
    <t>Asociación Junta Administradora del Acueducto Vereda La Convención</t>
  </si>
  <si>
    <t>Vereda Santa Ana Ojo de Agua</t>
  </si>
  <si>
    <t>Asociación Libardo Gonzalez E. Acueducto y Alcantarillado (OJO DE AGUA)</t>
  </si>
  <si>
    <t>Vereda Galicia</t>
  </si>
  <si>
    <t>Corporación Acueducto Galicia JHGN</t>
  </si>
  <si>
    <t>Vereda Mampuesto</t>
  </si>
  <si>
    <t>Corporación Acueducto Multiveredal Carmín, Cuchillas, La Mampuesto y Anexos-Mampuesto CAM</t>
  </si>
  <si>
    <t>Corporación Civica Acueducto El Tablazo</t>
  </si>
  <si>
    <t>Barrio San Antonio de Pereira</t>
  </si>
  <si>
    <t>Corporación Cívica Acueducto San Antonio de Pereira</t>
  </si>
  <si>
    <t>Vereda Santa Bárbara</t>
  </si>
  <si>
    <t>Corporación Cívica San Luis - Santa Bárbara</t>
  </si>
  <si>
    <t>Corporación de Usuarios Acueducto El Capiro</t>
  </si>
  <si>
    <t>Vereda La Laja</t>
  </si>
  <si>
    <t>Corporación La Enea-La Laja</t>
  </si>
  <si>
    <t>Vereda Rancherias</t>
  </si>
  <si>
    <t>Junta Administradora del servicio de Agua potable Rancherias</t>
  </si>
  <si>
    <t>Vereda Manizalez</t>
  </si>
  <si>
    <t>vereda santa rita (2001)</t>
  </si>
  <si>
    <t> Acueducto Multiveredal Santa Rita Parte Baja, Perpetuo Socorro, San Antonio, La Porquera y Las Hojas-Santa Rita</t>
  </si>
  <si>
    <t>vereda el perpetuo socorro (2002)</t>
  </si>
  <si>
    <t> Acueducto Multiveredal Santa Rita Parte Baja, Perpetuo Socorro, San Antonio, La Porquera y Las Hojas-Perpetuo Socorro</t>
  </si>
  <si>
    <t>vereda san antonio (2003)</t>
  </si>
  <si>
    <t> Acueducto Multiveredal Santa Rita Parte Baja, Perpetuo Socorro, San Antonio, La Porquera y Las Hojas-San Antonio</t>
  </si>
  <si>
    <t>vereda la porquera (2004)</t>
  </si>
  <si>
    <t> Acueducto Multiveredal Santa Rita Parte Baja, Perpetuo Socorro, San Antonio, La Porquera y Las Hojas-La Porquera</t>
  </si>
  <si>
    <t>vereda las hojas (2005)</t>
  </si>
  <si>
    <t> Acueducto Multiveredal Santa Rita Parte Baja, Perpetuo Socorro, San Antonio, La Porquera y Las Hojas-Las Hojas</t>
  </si>
  <si>
    <t>vereda la compañía (2006)</t>
  </si>
  <si>
    <t> Acueducto Multiveredal Santa Rita Parte Baja, Perpetuo Socorro, San Antonio, La Porquera y Las Hojas-Las Compañía</t>
  </si>
  <si>
    <t>vereda la floresta (1122),(1124)</t>
  </si>
  <si>
    <t>Asociacion de Usuarios del Acueducto Honda, Floresta,  Santa Ana-La Floresta</t>
  </si>
  <si>
    <t>vereda la honda (1125)</t>
  </si>
  <si>
    <t>Asociacion de Usuarios del Acueducto Honda, Floresta,  Santa Ana-La Honda</t>
  </si>
  <si>
    <t>vereda peñolcito (1126)</t>
  </si>
  <si>
    <t>Asociacion de Usuarios del Acueducto Honda, Floresta,  Santa Ana-Peñolcito</t>
  </si>
  <si>
    <t>Vereda Alto de Sanferrer</t>
  </si>
  <si>
    <t>Acueducto Alto de La Compañía-Alto de La Compañía - Alto de San ferrer</t>
  </si>
  <si>
    <t>Asociación de Usuarios del Acueducto Multiveredal San Roque - Frailes</t>
  </si>
  <si>
    <t>Asociación de Usuarios del Acueducto Multiveredal San Roque - La Jota</t>
  </si>
  <si>
    <t>Asociación de Usuarios del Acueducto Multiveredal San Roque - Marbella</t>
  </si>
  <si>
    <t>Asociación de Usuarios del Acueducto Multiveredal San Roque - Patio Bonito</t>
  </si>
  <si>
    <t>Asociación de Usuarios del Acueducto Multiveredal San Roque - Quiebra Honda</t>
  </si>
  <si>
    <t>Asociación de Usuarios del Acueducto Multiveredal San Roque - Villa Nueva</t>
  </si>
  <si>
    <t>Vereda el Tachira</t>
  </si>
  <si>
    <t>Junta de Acción Comunal Vereda el Tachira</t>
  </si>
  <si>
    <t>Asociación de Usuarios del Acueducto Multiveredal San Roque - Corregimiento Cristales</t>
  </si>
  <si>
    <t>300 (para población atendida de 1200 miilitares)</t>
  </si>
  <si>
    <t>Vereda La soledad</t>
  </si>
  <si>
    <t>Junta de Acción Comunal "La Soledad"</t>
  </si>
  <si>
    <t>Corregimiento Puerto Clavel</t>
  </si>
  <si>
    <t>Corregiemiento Puerto Lopez</t>
  </si>
  <si>
    <t>Cobertura del servicio acueducto a nivel rural %</t>
  </si>
  <si>
    <t>SUBSECRETARIA DE SALUD PUBLICA</t>
  </si>
  <si>
    <t>DIRECION DE SALUD AMBIENTAL Y FACTORES DE RIESGO</t>
  </si>
  <si>
    <t xml:space="preserve">Corporación De Acueducto San Pedro </t>
  </si>
  <si>
    <t xml:space="preserve">Corporación De Acueducto Multiveredal Santa Elena </t>
  </si>
  <si>
    <t xml:space="preserve">Corporación De Asociados  Del Acueducto Mazo </t>
  </si>
  <si>
    <t>Corporación De Acueducto Las Flores</t>
  </si>
  <si>
    <t>Corporación Del Acueducto Media Luna</t>
  </si>
  <si>
    <t xml:space="preserve">Corporación De Acueducto Piedras Blancas </t>
  </si>
  <si>
    <t xml:space="preserve">Junta Administradora Acueducto Manzanillo </t>
  </si>
  <si>
    <t>Corporacion De Acueducto De Altavista - Altavista*</t>
  </si>
  <si>
    <t>Corporacion De Acueducto De Altavista - La Perla*</t>
  </si>
  <si>
    <t>Junta Administradora De Acueducto San José De Manzanillo Agua Pura</t>
  </si>
  <si>
    <t>Corporacion De Acueducto El Manantial De Ana Diaz</t>
  </si>
  <si>
    <t>Corporacion De Acueducto El Manantial</t>
  </si>
  <si>
    <t>Junta Administradora De Servicios El Vergel (Jasver)</t>
  </si>
  <si>
    <t>Corporacion De Asociados Del Acueducto Montañita</t>
  </si>
  <si>
    <t>Junta Administradora Acueducto La Sorbetana</t>
  </si>
  <si>
    <t>Corporación Acueducto San Jose</t>
  </si>
  <si>
    <t>Corporación De Acuedcuto Multiveredal Arco Iris</t>
  </si>
  <si>
    <t>Junta Administradora Acueducto Multiveredal El Hato</t>
  </si>
  <si>
    <t>Corporación De Acueducto Multiveredal La Acuarela</t>
  </si>
  <si>
    <t>Junta Administradora Acueducto Multiveredal La Iguana</t>
  </si>
  <si>
    <t>Corporación De Acueducto Multiveredal Palmitas La China</t>
  </si>
  <si>
    <t>Asociacion de Usuarios del Acueducto  La Cabuyala</t>
  </si>
  <si>
    <r>
      <t xml:space="preserve">SUBREGION: </t>
    </r>
    <r>
      <rPr>
        <sz val="14"/>
        <rFont val="Arial"/>
        <family val="2"/>
      </rPr>
      <t>ORIENTE</t>
    </r>
  </si>
  <si>
    <r>
      <t xml:space="preserve">SUBREGION: </t>
    </r>
    <r>
      <rPr>
        <sz val="14"/>
        <rFont val="Arial"/>
        <family val="2"/>
      </rPr>
      <t>NORDESTE</t>
    </r>
  </si>
  <si>
    <r>
      <t xml:space="preserve">SUBREGION: </t>
    </r>
    <r>
      <rPr>
        <sz val="14"/>
        <rFont val="Arial"/>
        <family val="2"/>
      </rPr>
      <t>BAJO CAUCA</t>
    </r>
  </si>
  <si>
    <r>
      <t xml:space="preserve">SUBREGION: </t>
    </r>
    <r>
      <rPr>
        <sz val="14"/>
        <rFont val="Arial"/>
        <family val="2"/>
      </rPr>
      <t>SUROESTE</t>
    </r>
  </si>
  <si>
    <r>
      <t xml:space="preserve">SUBREGION: </t>
    </r>
    <r>
      <rPr>
        <sz val="14"/>
        <rFont val="Arial"/>
        <family val="2"/>
      </rPr>
      <t>OCCIDENTE</t>
    </r>
  </si>
  <si>
    <r>
      <t xml:space="preserve">SUBREGION: </t>
    </r>
    <r>
      <rPr>
        <sz val="14"/>
        <rFont val="Arial"/>
        <family val="2"/>
      </rPr>
      <t>NORTE</t>
    </r>
  </si>
  <si>
    <r>
      <t xml:space="preserve">SUBREGION: </t>
    </r>
    <r>
      <rPr>
        <sz val="14"/>
        <rFont val="Arial"/>
        <family val="2"/>
      </rPr>
      <t>URABA</t>
    </r>
  </si>
  <si>
    <r>
      <t>SUBREGION:</t>
    </r>
    <r>
      <rPr>
        <sz val="14"/>
        <rFont val="Arial"/>
        <family val="2"/>
      </rPr>
      <t xml:space="preserve"> VALLE DE ABURRA</t>
    </r>
  </si>
  <si>
    <r>
      <t xml:space="preserve">SUBREGION: </t>
    </r>
    <r>
      <rPr>
        <sz val="14"/>
        <rFont val="Arial"/>
        <family val="2"/>
      </rPr>
      <t>MAGDALENA MEDIO</t>
    </r>
  </si>
  <si>
    <t>DIRECCION DE SALUD AMBIENTAL Y FACTORES DE RIESGOS</t>
  </si>
  <si>
    <t>DIRECCION DE SALUD AMBIENTAL Y FACTORES DE RIESGO</t>
  </si>
  <si>
    <t>Asociación de usuarios de acueducto multiveredal corregimiento de la Candelaria (AMUVECAN)</t>
  </si>
  <si>
    <t>La Quinta</t>
  </si>
  <si>
    <t>JAA Paraje La Quinta</t>
  </si>
  <si>
    <t>Santa  Elena</t>
  </si>
  <si>
    <t>Acueducto Santa Helana</t>
  </si>
  <si>
    <t>Junta de Acción Comunal Vereda El Brasil - La sapera</t>
  </si>
  <si>
    <t>Junta de Acción Comunal Vereda El Brasil - La pinera</t>
  </si>
  <si>
    <t>Junta de acueducto Aguas Unidas</t>
  </si>
  <si>
    <t>Empresa de Servicios Publicos Domiciliarios de Buritica S.A.  E.S.P.-Siara</t>
  </si>
  <si>
    <t>Vereda Siara</t>
  </si>
  <si>
    <t>No tiene Junta de Accion comunal conformada</t>
  </si>
  <si>
    <t>Vereda Antado sector El Rodeo</t>
  </si>
  <si>
    <t>Vereda el balso p.B.</t>
  </si>
  <si>
    <t>Junta Administradora del Acueducto Corregimiento Pueblito - Vereda Guamal</t>
  </si>
  <si>
    <t>Vereda Pueblo Viejo</t>
  </si>
  <si>
    <t>Junta de Accion Comunal Vereda Pueblo Viejo</t>
  </si>
  <si>
    <t>Asociación de Usuarios del Acueducto Multiveredal Corregimiento Alto del Corral</t>
  </si>
  <si>
    <t>Vereda Monte Adentro</t>
  </si>
  <si>
    <t>Junta de Accion Comunal Vereda Monte Adentro</t>
  </si>
  <si>
    <t>Junta de Accion Comunal Vereda Morritos</t>
  </si>
  <si>
    <t>Veredas Provincial - Los Sauces</t>
  </si>
  <si>
    <t>Junta Administradora Acueducto Vereda  Provincial</t>
  </si>
  <si>
    <t>Vereda San juliancito</t>
  </si>
  <si>
    <t>Vereda Isaza</t>
  </si>
  <si>
    <t>Acueducto Isaza parte central</t>
  </si>
  <si>
    <t>Vereda Cestillal</t>
  </si>
  <si>
    <t>Asociación de usuarios acueducto Cestillal</t>
  </si>
  <si>
    <t>Asociación de usuarios acueducto vereda Monteloro</t>
  </si>
  <si>
    <t>Asociación de suscriptores del acueducto multiveredal El Roble- Pantanillo</t>
  </si>
  <si>
    <t>Asociación de Usuarios de Acueducto San Pedro Abajo</t>
  </si>
  <si>
    <t>Vereda Libano Naranjo</t>
  </si>
  <si>
    <t>Asociación de Usuarios del Acueducto El Libano El Naranjo</t>
  </si>
  <si>
    <t>Vereda el Tablazo</t>
  </si>
  <si>
    <t>Asociación de Usuarios del Acueducto Multiveredal Betania - Hispania E.S.P-el Tablazo</t>
  </si>
  <si>
    <t>Vereda Pedral Arriba</t>
  </si>
  <si>
    <t>Asociación de Usuarios del Acueducto Multiveredal Betania - Hispania E.S.P-Pedral Arriba</t>
  </si>
  <si>
    <t>Sector  Palenque</t>
  </si>
  <si>
    <t>Junta Administradora Acueducto  sector Palenque</t>
  </si>
  <si>
    <t>Sector  La Cita</t>
  </si>
  <si>
    <t>Junta Administradora Acueducto  sector  la Cita</t>
  </si>
  <si>
    <t>Asociacion de Usuarios del Acueducto Multiveredal  Plan Carrasquilla - Vereda la linda</t>
  </si>
  <si>
    <t>Asociacion de Usuarios del Acueducto Multiveredal  Plan Carrasquilla - Sector Palenque</t>
  </si>
  <si>
    <t>Vereda La  soledad</t>
  </si>
  <si>
    <t>Asociacion de Usuarios del Acueducto Multiveredal  Plan Carrasquilla - Vereda la  soledad</t>
  </si>
  <si>
    <t>Vereda la Fe</t>
  </si>
  <si>
    <t>Asociación de Usuarios del Acueducto Multiveredal Betania - Hispania E.S.P- la  Fe</t>
  </si>
  <si>
    <t>Junta de Accion Comunal Corregimiento la Susana</t>
  </si>
  <si>
    <t>Vereda la laguna</t>
  </si>
  <si>
    <t>Aguas y Aseo de Yondó S.A. E.S.P. -  Zona Rural Plana- La laguna</t>
  </si>
  <si>
    <t>Vereda x10</t>
  </si>
  <si>
    <t>Aguas y Aseo de Yondó S.A. E.S.P. -  Zona Rural Plana -x10</t>
  </si>
  <si>
    <t>Vereda  la condor</t>
  </si>
  <si>
    <t>Aguas y Aseo de Yondó S.A. E.S.P. -  Zona Rural Plana- La condor</t>
  </si>
  <si>
    <t>Vereda puerto tomas</t>
  </si>
  <si>
    <t>Aguas y Aseo de Yondó S.A. E.S.P. -  Zona Rural Plana -Puerto tomas</t>
  </si>
  <si>
    <t>Vereda puerto casabe</t>
  </si>
  <si>
    <t>Aguas y Aseo de Yondó S.A. E.S.P. -  Zona Rural Plana- Puerto casabe</t>
  </si>
  <si>
    <t>Vereda puerto los mangos</t>
  </si>
  <si>
    <t>Aguas y Aseo de Yondó S.A. E.S.P. -  Zona Rural Plana- Puerto los mangos</t>
  </si>
  <si>
    <t>96.3</t>
  </si>
  <si>
    <t>Vereda la Sonadora</t>
  </si>
  <si>
    <t>Junta Administradora Acueducto La Sonadora</t>
  </si>
  <si>
    <t>Vereda el Cinco</t>
  </si>
  <si>
    <t>Junta Administradora Acueducto El Cinco</t>
  </si>
  <si>
    <t>Junta Accion Comunal Acueducto Vereda Corinto</t>
  </si>
  <si>
    <t>Vereda El Tesoro</t>
  </si>
  <si>
    <t>Asociación Comunitaria Acueducto La Macarena de las Veredas La Mina y El Tesoro</t>
  </si>
  <si>
    <t>A.U.A Acueducto La Quintero</t>
  </si>
  <si>
    <t>Vereda La Selva</t>
  </si>
  <si>
    <t>Junta Administradora  de Acueducto Vereda La Selva</t>
  </si>
  <si>
    <t>Junta Administradora  de Acueducto Vereda Las Estrella</t>
  </si>
  <si>
    <t>Junta Administradora  de Acueducto Vereda Las Vegas</t>
  </si>
  <si>
    <t>Asociación de Usuarios del Acueducto y/o Alcantarillado VEDSAGUEL Vereda San Miguel</t>
  </si>
  <si>
    <t>Asociacion de Usuarios del Acueducto Veredal  El Capiro</t>
  </si>
  <si>
    <t>Asociacion de Usuarios Acueducto San Rafael - Los Saltos</t>
  </si>
  <si>
    <t>Asociacion de Usuarios del Acueducto Piedras El Salvio</t>
  </si>
  <si>
    <t>Asociación Usuarios del Acueducto y Alcantarillado de La Vereda San Nicolas  Planta N 1</t>
  </si>
  <si>
    <t>Asociación Usuarios del Acueducto y Alcantarillado de La Vereda San Nicolas  Planta N 3</t>
  </si>
  <si>
    <t>Asociación de Usuarios del Acueducto y Alcantarillado Cestillal La Palma - Corregimiento San Jose Cestillal</t>
  </si>
  <si>
    <t>Asociación de Usuarios del Acueducto y Alcantarillado Cestillal La Palma - Corregimiento San Jose La Palma</t>
  </si>
  <si>
    <t>Asociación de Usuarios del Acueduto y Alcantarillado Veramiel</t>
  </si>
  <si>
    <t>Junta de Accion Comunal Vereda El Higueron -Los Planes</t>
  </si>
  <si>
    <t>Asociacion de Usuarios del Acueducto Vereda San Gerardo</t>
  </si>
  <si>
    <t>Asociación de Usuarios Acueducto La Loma</t>
  </si>
  <si>
    <t>Asociación de Usuarios del Acueducto La Permfumería de La Vereda El Tambo</t>
  </si>
  <si>
    <t>Asociación Usuarios del Acueducto y Alcantarillado de La Vereda San Nicolas  Planta N 2</t>
  </si>
  <si>
    <t xml:space="preserve">Vereda Roblalito A </t>
  </si>
  <si>
    <t>Asociación de Usuarios del Acueducto Roblalito A, Parte Alta.</t>
  </si>
  <si>
    <t>Vereda Brasil</t>
  </si>
  <si>
    <t xml:space="preserve">Acueducto Brasil - Guayabal </t>
  </si>
  <si>
    <t xml:space="preserve">Vereda Caunsal </t>
  </si>
  <si>
    <t xml:space="preserve">Junta Administradora de Acueducto Veredal Arenillal Aguacates - Caunsal </t>
  </si>
  <si>
    <t>Vereda La Habana Arriba</t>
  </si>
  <si>
    <t xml:space="preserve">Junta de Acueducto Veredal La Habana La Loma - La Habana Arriba </t>
  </si>
  <si>
    <t xml:space="preserve">Vereda La Habana Abajo </t>
  </si>
  <si>
    <t>Junta de Acueducto Veredal La Habana La Loma - La Habana Abajo</t>
  </si>
  <si>
    <t xml:space="preserve">Vereda Sirguita </t>
  </si>
  <si>
    <t xml:space="preserve">Junta Administradora de Acueducto Los Potreros - Sirguita </t>
  </si>
  <si>
    <t xml:space="preserve">Vereda La Giralda </t>
  </si>
  <si>
    <t xml:space="preserve">Junta Administradora de Acueducto Los Potreros - La Giralda </t>
  </si>
  <si>
    <t>Asociacion de Usuarios del Acueducto Multiveredal  Romeral-La Miel</t>
  </si>
  <si>
    <t xml:space="preserve">Junta Administradora - Sofia </t>
  </si>
  <si>
    <t>CONSOLIDADO ACUEDUCTOS RURALES 2021</t>
  </si>
  <si>
    <t>Asociacion de Usuarios del  Acueducto Vereda El Encanto planta 2</t>
  </si>
  <si>
    <t>Asociación de Usuarios Acueducto Veredal El Encanto Planta 1</t>
  </si>
  <si>
    <t>vereda la esperanza</t>
  </si>
  <si>
    <t>Junta Administradora - La esperanza</t>
  </si>
  <si>
    <t>Código:  F0-M2-P5-189</t>
  </si>
  <si>
    <t>Junta Administradora de Acueducto El Bosque</t>
  </si>
  <si>
    <t>ACOMADEPLO- Urbaniacion San Cayetano - Puerto Lopez</t>
  </si>
  <si>
    <t>ASUAPUCLA- Barrio España-Corrgimiento Puerto Clavel</t>
  </si>
  <si>
    <t>NUMERO DE VIVIENDAS RURALES CON ACUEDUCTO - ANUARIO ESTADISTICO  ANTIOQUIA        2020</t>
  </si>
  <si>
    <t xml:space="preserve"> TOTAL ANTIOQUIA 2021</t>
  </si>
  <si>
    <t>ANTIOQUIA - SUBREGION VALLE DE ABURRA - 2021</t>
  </si>
  <si>
    <t>ANTIOQUIA - SUBREGION URABA - 2021</t>
  </si>
  <si>
    <t>ANTIOQUIA - SUBREGION  NORTE- 2021</t>
  </si>
  <si>
    <t>ANTIOQUIA - SUBREGION OCCIDENTE - 2021</t>
  </si>
  <si>
    <t>ANTIOQUIA - SUBREGION SUROESTE- 2021</t>
  </si>
  <si>
    <t>ANTIOQUIA -  SUBREGION  BAJO CAUCA 2021</t>
  </si>
  <si>
    <t>ANTIOQUIA - SUBREGION ORIENTE - 2021</t>
  </si>
  <si>
    <t>ANTIOQUIA - SUBREGION NORDESTE - 2021</t>
  </si>
  <si>
    <t>ANTIOQUIA -  SUBREGION  MAGDALENA MEDIO 2021</t>
  </si>
  <si>
    <t>Corporacion de Usuarios de Acueducto y Alcantarillado- Las MargaritasAcueducto Las Margaritas</t>
  </si>
  <si>
    <t>Asociación de Usuarios Acueducto Multiveredal La Cristalina -Llano Grande</t>
  </si>
  <si>
    <t>Corregimiento de Fraguas</t>
  </si>
  <si>
    <t>Junta de Acción Comunal Corregimiento Fraguas</t>
  </si>
  <si>
    <t>VILLA DEL ABURRA</t>
  </si>
  <si>
    <t>Vereda la esperanza</t>
  </si>
  <si>
    <t>INFORME MENSUAL DEL INDICE DE RIESGO DE CALIDAD DEL AGUA PARA CONSUMO HUMANO - IRCA- ACUEDUCTOS RURALES 2021</t>
  </si>
  <si>
    <t>INFORME MENSUAL DEL INDICE DE RIESGO DE CALIDAD DEL AGUA PARA CONSUMO HUMANO - IRCA -   ACUEDUCTOS RURALES 2021</t>
  </si>
  <si>
    <t>CONSOLIDADO REGIONAL INDICE DE RIESGO DE CALIDAD DEL AGUA PARA CONSUMO HUMANO- IRCA ACUEDUCTOS RURALES POR NIVEL DE RIESGO  2021</t>
  </si>
  <si>
    <t xml:space="preserve"> TOTAL POR MUESTRAS POR NIVEL DE RIESGO -  ANTIOQUIA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</si>
</sst>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 [$€-2]\ * #,##0.00_ ;_ [$€-2]\ * \-#,##0.00_ ;_ [$€-2]\ * &quot;-&quot;??_ "/>
  </numFmts>
  <fonts count="6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Verdana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sz val="10"/>
      <color indexed="81"/>
      <name val="Arial"/>
      <family val="2"/>
    </font>
    <font>
      <sz val="11"/>
      <color indexed="8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2"/>
      <color indexed="81"/>
      <name val="Tahoma"/>
      <family val="2"/>
    </font>
    <font>
      <sz val="11"/>
      <color theme="1"/>
      <name val="Verdana"/>
      <family val="2"/>
    </font>
    <font>
      <sz val="14"/>
      <color indexed="81"/>
      <name val="Arial"/>
      <family val="2"/>
    </font>
    <font>
      <sz val="12"/>
      <color rgb="FF002060"/>
      <name val="Arial"/>
      <family val="2"/>
    </font>
    <font>
      <sz val="12"/>
      <color rgb="FFFF0000"/>
      <name val="Arial"/>
      <family val="2"/>
    </font>
    <font>
      <sz val="12"/>
      <color theme="1"/>
      <name val="Ariel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1"/>
      <name val="Tahoma"/>
      <family val="2"/>
    </font>
    <font>
      <b/>
      <sz val="11"/>
      <color indexed="81"/>
      <name val="Arial"/>
      <family val="2"/>
    </font>
    <font>
      <sz val="12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48">
    <xf numFmtId="0" fontId="0" fillId="0" borderId="0"/>
    <xf numFmtId="0" fontId="26" fillId="9" borderId="0" applyNumberFormat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0" borderId="19" applyNumberFormat="0" applyFont="0" applyAlignment="0" applyProtection="0"/>
    <xf numFmtId="0" fontId="25" fillId="10" borderId="19" applyNumberFormat="0" applyFont="0" applyAlignment="0" applyProtection="0"/>
    <xf numFmtId="0" fontId="25" fillId="10" borderId="19" applyNumberFormat="0" applyFont="0" applyAlignment="0" applyProtection="0"/>
    <xf numFmtId="0" fontId="25" fillId="10" borderId="19" applyNumberFormat="0" applyFont="0" applyAlignment="0" applyProtection="0"/>
    <xf numFmtId="0" fontId="25" fillId="10" borderId="19" applyNumberFormat="0" applyFont="0" applyAlignment="0" applyProtection="0"/>
    <xf numFmtId="0" fontId="25" fillId="10" borderId="19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10" borderId="19" applyNumberFormat="0" applyFont="0" applyAlignment="0" applyProtection="0"/>
    <xf numFmtId="43" fontId="41" fillId="0" borderId="0" applyFont="0" applyFill="0" applyBorder="0" applyAlignment="0" applyProtection="0"/>
  </cellStyleXfs>
  <cellXfs count="73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0" xfId="0" applyFont="1" applyAlignment="1">
      <alignment wrapText="1"/>
    </xf>
    <xf numFmtId="2" fontId="3" fillId="2" borderId="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/>
    <xf numFmtId="0" fontId="4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0" fillId="11" borderId="0" xfId="0" applyFill="1" applyBorder="1"/>
    <xf numFmtId="0" fontId="0" fillId="11" borderId="0" xfId="0" applyFill="1"/>
    <xf numFmtId="0" fontId="8" fillId="0" borderId="3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left" wrapText="1"/>
    </xf>
    <xf numFmtId="0" fontId="3" fillId="12" borderId="0" xfId="0" applyFont="1" applyFill="1"/>
    <xf numFmtId="0" fontId="0" fillId="0" borderId="0" xfId="0" applyProtection="1">
      <protection locked="0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5" fillId="2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Border="1" applyAlignment="1"/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0" fillId="0" borderId="5" xfId="0" applyBorder="1" applyProtection="1">
      <protection locked="0"/>
    </xf>
    <xf numFmtId="0" fontId="17" fillId="11" borderId="0" xfId="0" applyFont="1" applyFill="1" applyBorder="1" applyAlignment="1" applyProtection="1">
      <alignment vertical="center"/>
      <protection locked="0"/>
    </xf>
    <xf numFmtId="0" fontId="11" fillId="11" borderId="0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 applyProtection="1">
      <alignment horizontal="center" vertical="center"/>
      <protection locked="0"/>
    </xf>
    <xf numFmtId="165" fontId="10" fillId="0" borderId="3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5" fontId="10" fillId="13" borderId="3" xfId="0" applyNumberFormat="1" applyFont="1" applyFill="1" applyBorder="1" applyAlignment="1">
      <alignment horizontal="center" vertical="center"/>
    </xf>
    <xf numFmtId="165" fontId="9" fillId="13" borderId="3" xfId="0" applyNumberFormat="1" applyFont="1" applyFill="1" applyBorder="1" applyAlignment="1">
      <alignment horizontal="center" vertical="top"/>
    </xf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10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/>
    <xf numFmtId="0" fontId="4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textRotation="90" wrapText="1"/>
    </xf>
    <xf numFmtId="165" fontId="8" fillId="14" borderId="3" xfId="0" applyNumberFormat="1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vertical="center"/>
    </xf>
    <xf numFmtId="0" fontId="8" fillId="14" borderId="3" xfId="0" applyFont="1" applyFill="1" applyBorder="1" applyAlignment="1">
      <alignment horizontal="center" vertical="center"/>
    </xf>
    <xf numFmtId="165" fontId="8" fillId="14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165" fontId="12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/>
    <xf numFmtId="165" fontId="12" fillId="2" borderId="1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5" fontId="10" fillId="0" borderId="0" xfId="1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17" fillId="11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5" fillId="2" borderId="9" xfId="0" applyFont="1" applyFill="1" applyBorder="1" applyAlignment="1">
      <alignment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165" fontId="12" fillId="2" borderId="3" xfId="0" applyNumberFormat="1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>
      <alignment horizontal="left" vertical="center" wrapText="1"/>
    </xf>
    <xf numFmtId="0" fontId="20" fillId="11" borderId="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11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0" fillId="11" borderId="0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165" fontId="12" fillId="2" borderId="3" xfId="0" applyNumberFormat="1" applyFont="1" applyFill="1" applyBorder="1" applyAlignment="1" applyProtection="1">
      <alignment horizontal="center" vertical="top"/>
    </xf>
    <xf numFmtId="165" fontId="12" fillId="3" borderId="3" xfId="0" applyNumberFormat="1" applyFont="1" applyFill="1" applyBorder="1" applyAlignment="1" applyProtection="1">
      <alignment horizontal="center" vertical="top"/>
    </xf>
    <xf numFmtId="165" fontId="27" fillId="3" borderId="3" xfId="0" applyNumberFormat="1" applyFont="1" applyFill="1" applyBorder="1" applyAlignment="1" applyProtection="1">
      <alignment horizontal="center" vertical="top"/>
    </xf>
    <xf numFmtId="165" fontId="12" fillId="2" borderId="0" xfId="17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24" fillId="3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 vertical="center"/>
    </xf>
    <xf numFmtId="165" fontId="12" fillId="3" borderId="0" xfId="0" applyNumberFormat="1" applyFont="1" applyFill="1" applyBorder="1" applyAlignment="1" applyProtection="1">
      <alignment horizontal="center" vertical="center"/>
    </xf>
    <xf numFmtId="165" fontId="27" fillId="3" borderId="0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0" fontId="12" fillId="0" borderId="0" xfId="0" applyFont="1" applyAlignment="1">
      <alignment horizontal="left"/>
    </xf>
    <xf numFmtId="165" fontId="7" fillId="2" borderId="4" xfId="0" applyNumberFormat="1" applyFont="1" applyFill="1" applyBorder="1" applyAlignment="1" applyProtection="1">
      <alignment horizontal="center" vertical="top"/>
      <protection locked="0"/>
    </xf>
    <xf numFmtId="0" fontId="12" fillId="0" borderId="3" xfId="0" applyFont="1" applyBorder="1" applyAlignment="1">
      <alignment wrapText="1"/>
    </xf>
    <xf numFmtId="0" fontId="12" fillId="0" borderId="3" xfId="0" applyFont="1" applyBorder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27" fillId="0" borderId="3" xfId="46" applyFont="1" applyFill="1" applyBorder="1" applyAlignment="1">
      <alignment horizontal="left" vertical="center" wrapText="1"/>
    </xf>
    <xf numFmtId="0" fontId="12" fillId="0" borderId="3" xfId="0" applyFont="1" applyBorder="1" applyProtection="1">
      <protection locked="0"/>
    </xf>
    <xf numFmtId="165" fontId="12" fillId="18" borderId="3" xfId="0" applyNumberFormat="1" applyFont="1" applyFill="1" applyBorder="1" applyAlignment="1" applyProtection="1">
      <alignment horizontal="center" vertical="top"/>
      <protection locked="0"/>
    </xf>
    <xf numFmtId="165" fontId="12" fillId="15" borderId="3" xfId="0" applyNumberFormat="1" applyFont="1" applyFill="1" applyBorder="1" applyAlignment="1" applyProtection="1">
      <alignment horizontal="center" vertical="top"/>
      <protection locked="0"/>
    </xf>
    <xf numFmtId="165" fontId="12" fillId="15" borderId="3" xfId="0" applyNumberFormat="1" applyFont="1" applyFill="1" applyBorder="1" applyAlignment="1" applyProtection="1">
      <alignment horizontal="center" vertical="top"/>
    </xf>
    <xf numFmtId="165" fontId="27" fillId="27" borderId="3" xfId="0" applyNumberFormat="1" applyFont="1" applyFill="1" applyBorder="1" applyAlignment="1" applyProtection="1">
      <alignment horizontal="center" vertical="top"/>
    </xf>
    <xf numFmtId="165" fontId="12" fillId="18" borderId="3" xfId="0" applyNumberFormat="1" applyFont="1" applyFill="1" applyBorder="1" applyAlignment="1" applyProtection="1">
      <alignment horizontal="center" vertical="top"/>
    </xf>
    <xf numFmtId="165" fontId="12" fillId="21" borderId="3" xfId="0" applyNumberFormat="1" applyFont="1" applyFill="1" applyBorder="1" applyAlignment="1" applyProtection="1">
      <alignment horizontal="center" vertical="top"/>
    </xf>
    <xf numFmtId="165" fontId="27" fillId="20" borderId="3" xfId="0" applyNumberFormat="1" applyFont="1" applyFill="1" applyBorder="1" applyAlignment="1" applyProtection="1">
      <alignment horizontal="center" vertical="top"/>
    </xf>
    <xf numFmtId="165" fontId="12" fillId="17" borderId="3" xfId="0" applyNumberFormat="1" applyFont="1" applyFill="1" applyBorder="1" applyAlignment="1" applyProtection="1">
      <alignment horizontal="center" vertical="top"/>
      <protection locked="0"/>
    </xf>
    <xf numFmtId="165" fontId="12" fillId="17" borderId="3" xfId="0" applyNumberFormat="1" applyFont="1" applyFill="1" applyBorder="1" applyAlignment="1" applyProtection="1">
      <alignment horizontal="center" vertical="top"/>
    </xf>
    <xf numFmtId="165" fontId="27" fillId="26" borderId="3" xfId="0" applyNumberFormat="1" applyFont="1" applyFill="1" applyBorder="1" applyAlignment="1" applyProtection="1">
      <alignment horizontal="center" vertical="top"/>
    </xf>
    <xf numFmtId="165" fontId="12" fillId="16" borderId="3" xfId="0" applyNumberFormat="1" applyFont="1" applyFill="1" applyBorder="1" applyAlignment="1" applyProtection="1">
      <alignment horizontal="center" vertical="top"/>
      <protection locked="0"/>
    </xf>
    <xf numFmtId="165" fontId="12" fillId="16" borderId="3" xfId="0" applyNumberFormat="1" applyFont="1" applyFill="1" applyBorder="1" applyAlignment="1" applyProtection="1">
      <alignment horizontal="center" vertical="top"/>
    </xf>
    <xf numFmtId="165" fontId="27" fillId="25" borderId="3" xfId="0" applyNumberFormat="1" applyFont="1" applyFill="1" applyBorder="1" applyAlignment="1" applyProtection="1">
      <alignment horizontal="center" vertical="top"/>
    </xf>
    <xf numFmtId="165" fontId="12" fillId="19" borderId="3" xfId="0" applyNumberFormat="1" applyFont="1" applyFill="1" applyBorder="1" applyAlignment="1" applyProtection="1">
      <alignment horizontal="center" vertical="top"/>
    </xf>
    <xf numFmtId="165" fontId="27" fillId="24" borderId="3" xfId="0" applyNumberFormat="1" applyFont="1" applyFill="1" applyBorder="1" applyAlignment="1" applyProtection="1">
      <alignment horizontal="center" vertical="top"/>
    </xf>
    <xf numFmtId="165" fontId="12" fillId="27" borderId="3" xfId="0" applyNumberFormat="1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0" fillId="0" borderId="0" xfId="0"/>
    <xf numFmtId="0" fontId="12" fillId="2" borderId="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27" fillId="0" borderId="0" xfId="46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Border="1" applyAlignment="1" applyProtection="1">
      <alignment horizontal="center" vertical="top"/>
      <protection locked="0"/>
    </xf>
    <xf numFmtId="165" fontId="12" fillId="0" borderId="0" xfId="0" applyNumberFormat="1" applyFont="1" applyFill="1" applyBorder="1" applyAlignment="1" applyProtection="1">
      <alignment horizontal="center" vertical="top"/>
    </xf>
    <xf numFmtId="165" fontId="27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Border="1" applyProtection="1">
      <protection locked="0"/>
    </xf>
    <xf numFmtId="0" fontId="0" fillId="0" borderId="0" xfId="0"/>
    <xf numFmtId="0" fontId="8" fillId="11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8" xfId="0" applyFont="1" applyBorder="1"/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21" applyNumberFormat="1" applyFont="1" applyFill="1" applyBorder="1" applyAlignment="1">
      <alignment horizontal="center" vertical="center"/>
    </xf>
    <xf numFmtId="165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center" vertical="center" wrapText="1"/>
    </xf>
    <xf numFmtId="165" fontId="10" fillId="11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Protection="1">
      <protection locked="0"/>
    </xf>
    <xf numFmtId="0" fontId="12" fillId="11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6" applyFont="1" applyFill="1" applyBorder="1" applyAlignment="1">
      <alignment horizontal="left" vertical="center"/>
    </xf>
    <xf numFmtId="165" fontId="12" fillId="11" borderId="0" xfId="0" applyNumberFormat="1" applyFont="1" applyFill="1" applyBorder="1" applyAlignment="1" applyProtection="1">
      <alignment horizontal="center" vertical="center"/>
      <protection locked="0"/>
    </xf>
    <xf numFmtId="165" fontId="24" fillId="3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textRotation="90" wrapText="1"/>
    </xf>
    <xf numFmtId="0" fontId="8" fillId="19" borderId="3" xfId="0" applyFont="1" applyFill="1" applyBorder="1" applyAlignment="1">
      <alignment horizontal="center" vertical="center" textRotation="90" wrapText="1"/>
    </xf>
    <xf numFmtId="0" fontId="8" fillId="16" borderId="3" xfId="0" applyFont="1" applyFill="1" applyBorder="1" applyAlignment="1">
      <alignment horizontal="center" vertical="center" textRotation="90" wrapText="1"/>
    </xf>
    <xf numFmtId="0" fontId="8" fillId="17" borderId="3" xfId="0" applyFont="1" applyFill="1" applyBorder="1" applyAlignment="1">
      <alignment horizontal="center" vertical="center" textRotation="90" wrapText="1"/>
    </xf>
    <xf numFmtId="0" fontId="8" fillId="18" borderId="3" xfId="0" applyFont="1" applyFill="1" applyBorder="1" applyAlignment="1">
      <alignment horizontal="center" vertical="center" textRotation="90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165" fontId="27" fillId="0" borderId="0" xfId="0" applyNumberFormat="1" applyFont="1" applyFill="1" applyBorder="1" applyAlignment="1" applyProtection="1">
      <alignment horizontal="center" vertical="center"/>
    </xf>
    <xf numFmtId="165" fontId="34" fillId="15" borderId="3" xfId="0" applyNumberFormat="1" applyFont="1" applyFill="1" applyBorder="1" applyAlignment="1" applyProtection="1">
      <alignment horizontal="left" vertical="center"/>
      <protection locked="0"/>
    </xf>
    <xf numFmtId="0" fontId="34" fillId="19" borderId="3" xfId="0" applyFont="1" applyFill="1" applyBorder="1" applyAlignment="1">
      <alignment horizontal="left" vertical="center" wrapText="1"/>
    </xf>
    <xf numFmtId="0" fontId="34" fillId="16" borderId="3" xfId="0" applyFont="1" applyFill="1" applyBorder="1" applyAlignment="1">
      <alignment horizontal="left" vertical="center" wrapText="1"/>
    </xf>
    <xf numFmtId="0" fontId="34" fillId="17" borderId="3" xfId="0" applyFont="1" applyFill="1" applyBorder="1" applyAlignment="1">
      <alignment horizontal="left" vertical="center" wrapText="1"/>
    </xf>
    <xf numFmtId="0" fontId="34" fillId="18" borderId="3" xfId="0" applyFont="1" applyFill="1" applyBorder="1" applyAlignment="1">
      <alignment horizontal="left" vertical="center" wrapText="1"/>
    </xf>
    <xf numFmtId="0" fontId="33" fillId="14" borderId="8" xfId="0" applyFont="1" applyFill="1" applyBorder="1" applyAlignment="1">
      <alignment horizontal="center" vertical="center" wrapText="1"/>
    </xf>
    <xf numFmtId="0" fontId="33" fillId="14" borderId="3" xfId="0" applyFont="1" applyFill="1" applyBorder="1" applyAlignment="1">
      <alignment vertical="center" wrapText="1"/>
    </xf>
    <xf numFmtId="0" fontId="34" fillId="14" borderId="3" xfId="0" applyFont="1" applyFill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/>
    </xf>
    <xf numFmtId="0" fontId="34" fillId="14" borderId="3" xfId="0" applyFont="1" applyFill="1" applyBorder="1" applyAlignment="1">
      <alignment horizontal="center" vertical="center"/>
    </xf>
    <xf numFmtId="0" fontId="37" fillId="14" borderId="3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165" fontId="34" fillId="15" borderId="12" xfId="0" applyNumberFormat="1" applyFont="1" applyFill="1" applyBorder="1" applyAlignment="1" applyProtection="1">
      <alignment horizontal="left" vertical="center"/>
      <protection locked="0"/>
    </xf>
    <xf numFmtId="0" fontId="36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14" borderId="3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4" fillId="12" borderId="3" xfId="0" applyFont="1" applyFill="1" applyBorder="1" applyAlignment="1">
      <alignment horizontal="left" vertical="center" wrapText="1"/>
    </xf>
    <xf numFmtId="0" fontId="34" fillId="12" borderId="3" xfId="0" applyFont="1" applyFill="1" applyBorder="1" applyAlignment="1">
      <alignment horizontal="center" vertical="center"/>
    </xf>
    <xf numFmtId="0" fontId="34" fillId="29" borderId="3" xfId="0" applyFont="1" applyFill="1" applyBorder="1" applyAlignment="1">
      <alignment horizontal="left" vertical="center" wrapText="1"/>
    </xf>
    <xf numFmtId="0" fontId="34" fillId="29" borderId="3" xfId="0" applyFont="1" applyFill="1" applyBorder="1" applyAlignment="1">
      <alignment horizontal="center" vertical="center"/>
    </xf>
    <xf numFmtId="0" fontId="35" fillId="29" borderId="3" xfId="0" applyFont="1" applyFill="1" applyBorder="1" applyAlignment="1">
      <alignment horizontal="center" vertical="center"/>
    </xf>
    <xf numFmtId="1" fontId="10" fillId="29" borderId="3" xfId="0" applyNumberFormat="1" applyFont="1" applyFill="1" applyBorder="1" applyAlignment="1">
      <alignment horizontal="center" vertical="center" wrapText="1"/>
    </xf>
    <xf numFmtId="1" fontId="10" fillId="29" borderId="3" xfId="0" applyNumberFormat="1" applyFont="1" applyFill="1" applyBorder="1" applyAlignment="1">
      <alignment horizontal="center" vertical="center"/>
    </xf>
    <xf numFmtId="3" fontId="10" fillId="29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29" borderId="3" xfId="0" applyFont="1" applyFill="1" applyBorder="1" applyAlignment="1">
      <alignment horizontal="center" vertical="center" wrapText="1"/>
    </xf>
    <xf numFmtId="165" fontId="10" fillId="2" borderId="0" xfId="21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horizontal="left" vertical="center" wrapText="1"/>
    </xf>
    <xf numFmtId="0" fontId="24" fillId="11" borderId="0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8" fillId="14" borderId="3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20" fillId="0" borderId="17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42" fillId="11" borderId="3" xfId="0" applyFont="1" applyFill="1" applyBorder="1" applyAlignment="1">
      <alignment horizontal="left" vertical="center" wrapText="1"/>
    </xf>
    <xf numFmtId="0" fontId="42" fillId="11" borderId="3" xfId="46" applyFont="1" applyFill="1" applyBorder="1" applyAlignment="1">
      <alignment horizontal="left" vertical="center" wrapText="1"/>
    </xf>
    <xf numFmtId="0" fontId="42" fillId="11" borderId="3" xfId="46" applyFont="1" applyFill="1" applyBorder="1" applyAlignment="1">
      <alignment horizontal="left" vertical="center"/>
    </xf>
    <xf numFmtId="0" fontId="42" fillId="11" borderId="3" xfId="0" applyFont="1" applyFill="1" applyBorder="1" applyAlignment="1" applyProtection="1">
      <alignment horizontal="center" vertical="center"/>
      <protection locked="0"/>
    </xf>
    <xf numFmtId="165" fontId="42" fillId="11" borderId="3" xfId="0" applyNumberFormat="1" applyFont="1" applyFill="1" applyBorder="1" applyAlignment="1" applyProtection="1">
      <alignment horizontal="center" vertical="center"/>
      <protection locked="0"/>
    </xf>
    <xf numFmtId="165" fontId="42" fillId="11" borderId="3" xfId="0" applyNumberFormat="1" applyFont="1" applyFill="1" applyBorder="1" applyAlignment="1" applyProtection="1">
      <alignment horizontal="center" vertical="center"/>
    </xf>
    <xf numFmtId="165" fontId="42" fillId="13" borderId="3" xfId="0" applyNumberFormat="1" applyFont="1" applyFill="1" applyBorder="1" applyAlignment="1" applyProtection="1">
      <alignment horizontal="center" vertical="center"/>
    </xf>
    <xf numFmtId="165" fontId="43" fillId="11" borderId="3" xfId="0" applyNumberFormat="1" applyFont="1" applyFill="1" applyBorder="1" applyAlignment="1" applyProtection="1">
      <alignment horizontal="center" vertical="center"/>
      <protection locked="0"/>
    </xf>
    <xf numFmtId="165" fontId="43" fillId="11" borderId="3" xfId="0" applyNumberFormat="1" applyFont="1" applyFill="1" applyBorder="1" applyAlignment="1" applyProtection="1">
      <alignment horizontal="center" vertical="center"/>
    </xf>
    <xf numFmtId="165" fontId="43" fillId="13" borderId="3" xfId="0" applyNumberFormat="1" applyFont="1" applyFill="1" applyBorder="1" applyAlignment="1" applyProtection="1">
      <alignment horizontal="center" vertical="center"/>
    </xf>
    <xf numFmtId="0" fontId="42" fillId="11" borderId="3" xfId="0" applyFont="1" applyFill="1" applyBorder="1" applyAlignment="1">
      <alignment horizontal="center" vertical="center" wrapText="1"/>
    </xf>
    <xf numFmtId="0" fontId="42" fillId="11" borderId="3" xfId="0" applyFont="1" applyFill="1" applyBorder="1" applyAlignment="1">
      <alignment horizontal="center" vertical="center"/>
    </xf>
    <xf numFmtId="0" fontId="42" fillId="11" borderId="3" xfId="46" applyFont="1" applyFill="1" applyBorder="1" applyAlignment="1">
      <alignment vertical="center" wrapText="1"/>
    </xf>
    <xf numFmtId="165" fontId="10" fillId="2" borderId="3" xfId="0" applyNumberFormat="1" applyFont="1" applyFill="1" applyBorder="1" applyAlignment="1" applyProtection="1">
      <alignment horizontal="center" vertical="center"/>
    </xf>
    <xf numFmtId="165" fontId="10" fillId="3" borderId="3" xfId="0" applyNumberFormat="1" applyFont="1" applyFill="1" applyBorder="1" applyAlignment="1" applyProtection="1">
      <alignment horizontal="center" vertical="center"/>
    </xf>
    <xf numFmtId="165" fontId="42" fillId="3" borderId="3" xfId="0" applyNumberFormat="1" applyFont="1" applyFill="1" applyBorder="1" applyAlignment="1" applyProtection="1">
      <alignment horizontal="center" vertical="center"/>
    </xf>
    <xf numFmtId="0" fontId="42" fillId="11" borderId="3" xfId="0" applyFont="1" applyFill="1" applyBorder="1" applyAlignment="1" applyProtection="1">
      <alignment horizontal="center" vertical="center" wrapText="1"/>
      <protection locked="0"/>
    </xf>
    <xf numFmtId="0" fontId="42" fillId="11" borderId="3" xfId="0" applyFont="1" applyFill="1" applyBorder="1" applyAlignment="1">
      <alignment vertical="center" wrapText="1"/>
    </xf>
    <xf numFmtId="0" fontId="42" fillId="11" borderId="3" xfId="0" applyFont="1" applyFill="1" applyBorder="1" applyAlignment="1" applyProtection="1">
      <alignment horizontal="left" vertical="center"/>
      <protection locked="0"/>
    </xf>
    <xf numFmtId="165" fontId="10" fillId="21" borderId="3" xfId="0" applyNumberFormat="1" applyFont="1" applyFill="1" applyBorder="1" applyAlignment="1" applyProtection="1">
      <alignment horizontal="center" vertical="center"/>
    </xf>
    <xf numFmtId="165" fontId="10" fillId="0" borderId="3" xfId="0" applyNumberFormat="1" applyFont="1" applyFill="1" applyBorder="1" applyAlignment="1" applyProtection="1">
      <alignment horizontal="center" vertical="center"/>
    </xf>
    <xf numFmtId="165" fontId="10" fillId="31" borderId="3" xfId="0" applyNumberFormat="1" applyFont="1" applyFill="1" applyBorder="1" applyAlignment="1">
      <alignment horizontal="center" vertical="center"/>
    </xf>
    <xf numFmtId="165" fontId="10" fillId="31" borderId="3" xfId="0" applyNumberFormat="1" applyFont="1" applyFill="1" applyBorder="1" applyAlignment="1" applyProtection="1">
      <alignment horizontal="center" vertical="center"/>
    </xf>
    <xf numFmtId="0" fontId="42" fillId="11" borderId="3" xfId="0" applyFont="1" applyFill="1" applyBorder="1" applyAlignment="1">
      <alignment horizontal="left" vertical="center"/>
    </xf>
    <xf numFmtId="165" fontId="10" fillId="19" borderId="3" xfId="0" applyNumberFormat="1" applyFont="1" applyFill="1" applyBorder="1" applyAlignment="1" applyProtection="1">
      <alignment horizontal="center" vertical="center"/>
    </xf>
    <xf numFmtId="0" fontId="42" fillId="11" borderId="3" xfId="0" applyFont="1" applyFill="1" applyBorder="1" applyAlignment="1" applyProtection="1">
      <alignment vertical="top"/>
      <protection locked="0"/>
    </xf>
    <xf numFmtId="0" fontId="42" fillId="11" borderId="3" xfId="0" applyFont="1" applyFill="1" applyBorder="1" applyAlignment="1" applyProtection="1">
      <alignment horizontal="left" vertical="top"/>
      <protection locked="0"/>
    </xf>
    <xf numFmtId="0" fontId="42" fillId="11" borderId="3" xfId="0" applyFont="1" applyFill="1" applyBorder="1" applyAlignment="1" applyProtection="1">
      <alignment horizontal="left" vertical="center" wrapText="1"/>
    </xf>
    <xf numFmtId="1" fontId="42" fillId="11" borderId="3" xfId="0" applyNumberFormat="1" applyFont="1" applyFill="1" applyBorder="1" applyAlignment="1">
      <alignment horizontal="center" vertical="center"/>
    </xf>
    <xf numFmtId="165" fontId="10" fillId="16" borderId="3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0" fontId="42" fillId="11" borderId="3" xfId="46" applyFont="1" applyFill="1" applyBorder="1" applyAlignment="1" applyProtection="1">
      <alignment horizontal="left" vertical="center" wrapText="1"/>
    </xf>
    <xf numFmtId="0" fontId="42" fillId="11" borderId="16" xfId="0" applyFont="1" applyFill="1" applyBorder="1" applyAlignment="1">
      <alignment vertical="center" wrapText="1"/>
    </xf>
    <xf numFmtId="0" fontId="42" fillId="11" borderId="16" xfId="0" applyFont="1" applyFill="1" applyBorder="1" applyAlignment="1">
      <alignment horizontal="left" vertical="center" wrapText="1"/>
    </xf>
    <xf numFmtId="1" fontId="42" fillId="11" borderId="8" xfId="0" applyNumberFormat="1" applyFont="1" applyFill="1" applyBorder="1" applyAlignment="1">
      <alignment horizontal="center" vertical="center"/>
    </xf>
    <xf numFmtId="0" fontId="42" fillId="11" borderId="11" xfId="46" applyFont="1" applyFill="1" applyBorder="1" applyAlignment="1">
      <alignment horizontal="left" vertical="center" wrapText="1"/>
    </xf>
    <xf numFmtId="0" fontId="42" fillId="11" borderId="12" xfId="46" applyFont="1" applyFill="1" applyBorder="1" applyAlignment="1" applyProtection="1">
      <alignment horizontal="left" vertical="center" wrapText="1"/>
    </xf>
    <xf numFmtId="0" fontId="44" fillId="28" borderId="3" xfId="0" applyFont="1" applyFill="1" applyBorder="1" applyAlignment="1">
      <alignment vertical="center" wrapText="1"/>
    </xf>
    <xf numFmtId="165" fontId="10" fillId="11" borderId="3" xfId="0" applyNumberFormat="1" applyFont="1" applyFill="1" applyBorder="1" applyAlignment="1" applyProtection="1">
      <alignment horizontal="center" vertical="center"/>
      <protection locked="0"/>
    </xf>
    <xf numFmtId="0" fontId="42" fillId="11" borderId="3" xfId="34" applyFont="1" applyFill="1" applyBorder="1" applyAlignment="1">
      <alignment horizontal="left" vertical="center" wrapText="1"/>
    </xf>
    <xf numFmtId="0" fontId="42" fillId="11" borderId="1" xfId="0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10" fillId="18" borderId="3" xfId="0" applyNumberFormat="1" applyFont="1" applyFill="1" applyBorder="1" applyAlignment="1" applyProtection="1">
      <alignment horizontal="center" vertical="center"/>
      <protection locked="0"/>
    </xf>
    <xf numFmtId="0" fontId="42" fillId="11" borderId="3" xfId="17" applyFont="1" applyFill="1" applyBorder="1" applyAlignment="1">
      <alignment horizontal="left" vertical="center" wrapText="1"/>
    </xf>
    <xf numFmtId="0" fontId="42" fillId="11" borderId="3" xfId="17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5" fontId="45" fillId="3" borderId="3" xfId="0" applyNumberFormat="1" applyFont="1" applyFill="1" applyBorder="1" applyAlignment="1" applyProtection="1">
      <alignment horizontal="center" vertical="center"/>
    </xf>
    <xf numFmtId="0" fontId="42" fillId="11" borderId="3" xfId="17" applyFont="1" applyFill="1" applyBorder="1" applyAlignment="1" applyProtection="1">
      <alignment vertical="center" wrapText="1"/>
    </xf>
    <xf numFmtId="0" fontId="42" fillId="11" borderId="3" xfId="17" applyFont="1" applyFill="1" applyBorder="1" applyAlignment="1">
      <alignment vertical="center" wrapText="1"/>
    </xf>
    <xf numFmtId="0" fontId="42" fillId="11" borderId="3" xfId="34" applyFont="1" applyFill="1" applyBorder="1" applyAlignment="1">
      <alignment vertical="center" wrapText="1"/>
    </xf>
    <xf numFmtId="0" fontId="42" fillId="11" borderId="3" xfId="17" applyFont="1" applyFill="1" applyBorder="1" applyAlignment="1" applyProtection="1">
      <alignment horizontal="left" vertical="center" wrapText="1"/>
    </xf>
    <xf numFmtId="3" fontId="42" fillId="11" borderId="3" xfId="17" applyNumberFormat="1" applyFont="1" applyFill="1" applyBorder="1" applyAlignment="1" applyProtection="1">
      <alignment horizontal="center" vertical="center"/>
      <protection locked="0"/>
    </xf>
    <xf numFmtId="0" fontId="42" fillId="11" borderId="3" xfId="0" applyNumberFormat="1" applyFont="1" applyFill="1" applyBorder="1" applyAlignment="1" applyProtection="1">
      <alignment horizontal="center" vertical="center"/>
      <protection locked="0"/>
    </xf>
    <xf numFmtId="0" fontId="42" fillId="11" borderId="3" xfId="17" applyFont="1" applyFill="1" applyBorder="1" applyAlignment="1">
      <alignment horizontal="center" vertical="center" wrapText="1"/>
    </xf>
    <xf numFmtId="165" fontId="10" fillId="21" borderId="3" xfId="0" applyNumberFormat="1" applyFont="1" applyFill="1" applyBorder="1" applyAlignment="1">
      <alignment horizontal="center" vertical="center"/>
    </xf>
    <xf numFmtId="0" fontId="42" fillId="11" borderId="3" xfId="17" applyFont="1" applyFill="1" applyBorder="1" applyAlignment="1">
      <alignment horizontal="left" vertical="center"/>
    </xf>
    <xf numFmtId="0" fontId="15" fillId="11" borderId="9" xfId="0" applyFont="1" applyFill="1" applyBorder="1" applyAlignment="1" applyProtection="1">
      <alignment horizontal="center" vertical="center" wrapText="1"/>
      <protection locked="0"/>
    </xf>
    <xf numFmtId="165" fontId="10" fillId="2" borderId="3" xfId="17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 wrapText="1"/>
    </xf>
    <xf numFmtId="165" fontId="43" fillId="3" borderId="1" xfId="0" applyNumberFormat="1" applyFont="1" applyFill="1" applyBorder="1" applyAlignment="1" applyProtection="1">
      <alignment horizontal="center" vertical="center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11" borderId="3" xfId="34" applyFont="1" applyFill="1" applyBorder="1" applyAlignment="1">
      <alignment horizontal="left" vertical="center"/>
    </xf>
    <xf numFmtId="165" fontId="10" fillId="3" borderId="3" xfId="0" applyNumberFormat="1" applyFont="1" applyFill="1" applyBorder="1" applyAlignment="1" applyProtection="1">
      <alignment horizontal="center" vertical="top"/>
    </xf>
    <xf numFmtId="0" fontId="42" fillId="11" borderId="11" xfId="17" applyFont="1" applyFill="1" applyBorder="1" applyAlignment="1">
      <alignment horizontal="left" vertical="center" wrapText="1"/>
    </xf>
    <xf numFmtId="0" fontId="42" fillId="11" borderId="11" xfId="0" applyFont="1" applyFill="1" applyBorder="1" applyAlignment="1" applyProtection="1">
      <alignment horizontal="center" vertical="center"/>
      <protection locked="0"/>
    </xf>
    <xf numFmtId="165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42" fillId="11" borderId="12" xfId="17" applyFont="1" applyFill="1" applyBorder="1" applyAlignment="1">
      <alignment horizontal="center" vertical="center" wrapText="1"/>
    </xf>
    <xf numFmtId="165" fontId="10" fillId="2" borderId="3" xfId="17" applyNumberFormat="1" applyFont="1" applyFill="1" applyBorder="1" applyAlignment="1" applyProtection="1">
      <alignment horizontal="center" vertical="center" wrapText="1"/>
      <protection locked="0"/>
    </xf>
    <xf numFmtId="165" fontId="10" fillId="3" borderId="11" xfId="0" applyNumberFormat="1" applyFont="1" applyFill="1" applyBorder="1" applyAlignment="1" applyProtection="1">
      <alignment horizontal="center" vertical="center"/>
    </xf>
    <xf numFmtId="165" fontId="10" fillId="33" borderId="3" xfId="17" applyNumberFormat="1" applyFont="1" applyFill="1" applyBorder="1" applyAlignment="1" applyProtection="1">
      <alignment horizontal="center" vertical="center" wrapText="1"/>
      <protection locked="0"/>
    </xf>
    <xf numFmtId="165" fontId="10" fillId="2" borderId="12" xfId="17" applyNumberFormat="1" applyFont="1" applyFill="1" applyBorder="1" applyAlignment="1">
      <alignment horizontal="center" vertical="center"/>
    </xf>
    <xf numFmtId="165" fontId="10" fillId="3" borderId="12" xfId="0" applyNumberFormat="1" applyFont="1" applyFill="1" applyBorder="1" applyAlignment="1">
      <alignment horizontal="center" vertical="center"/>
    </xf>
    <xf numFmtId="2" fontId="10" fillId="2" borderId="3" xfId="17" applyNumberFormat="1" applyFont="1" applyFill="1" applyBorder="1" applyAlignment="1" applyProtection="1">
      <alignment horizontal="center" vertical="center" wrapText="1"/>
      <protection locked="0"/>
    </xf>
    <xf numFmtId="2" fontId="10" fillId="2" borderId="3" xfId="0" applyNumberFormat="1" applyFont="1" applyFill="1" applyBorder="1" applyAlignment="1" applyProtection="1">
      <alignment horizontal="center" vertical="center"/>
    </xf>
    <xf numFmtId="165" fontId="10" fillId="17" borderId="3" xfId="0" applyNumberFormat="1" applyFont="1" applyFill="1" applyBorder="1" applyAlignment="1" applyProtection="1">
      <alignment horizontal="center" vertical="center"/>
    </xf>
    <xf numFmtId="165" fontId="10" fillId="18" borderId="3" xfId="0" applyNumberFormat="1" applyFont="1" applyFill="1" applyBorder="1" applyAlignment="1" applyProtection="1">
      <alignment horizontal="center" vertical="center"/>
    </xf>
    <xf numFmtId="0" fontId="42" fillId="11" borderId="3" xfId="0" applyFont="1" applyFill="1" applyBorder="1" applyAlignment="1" applyProtection="1">
      <alignment horizontal="left" vertical="center" wrapText="1"/>
      <protection locked="0"/>
    </xf>
    <xf numFmtId="165" fontId="10" fillId="2" borderId="3" xfId="0" applyNumberFormat="1" applyFont="1" applyFill="1" applyBorder="1" applyAlignment="1" applyProtection="1">
      <alignment horizontal="center" vertical="top"/>
      <protection locked="0"/>
    </xf>
    <xf numFmtId="0" fontId="42" fillId="11" borderId="3" xfId="34" applyFont="1" applyFill="1" applyBorder="1" applyAlignment="1" applyProtection="1">
      <alignment horizontal="left" vertical="center" wrapText="1"/>
    </xf>
    <xf numFmtId="0" fontId="42" fillId="11" borderId="12" xfId="0" applyFont="1" applyFill="1" applyBorder="1" applyAlignment="1" applyProtection="1">
      <alignment horizontal="center" vertical="center"/>
      <protection locked="0"/>
    </xf>
    <xf numFmtId="0" fontId="42" fillId="11" borderId="3" xfId="46" applyFont="1" applyFill="1" applyBorder="1" applyAlignment="1" applyProtection="1">
      <alignment horizontal="left" vertical="center"/>
    </xf>
    <xf numFmtId="0" fontId="42" fillId="11" borderId="3" xfId="34" applyFont="1" applyFill="1" applyBorder="1" applyAlignment="1" applyProtection="1">
      <alignment horizontal="left" vertical="center"/>
    </xf>
    <xf numFmtId="0" fontId="42" fillId="11" borderId="18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165" fontId="10" fillId="22" borderId="3" xfId="0" applyNumberFormat="1" applyFont="1" applyFill="1" applyBorder="1" applyAlignment="1" applyProtection="1">
      <alignment horizontal="center" vertical="center"/>
      <protection locked="0"/>
    </xf>
    <xf numFmtId="165" fontId="10" fillId="23" borderId="3" xfId="0" applyNumberFormat="1" applyFont="1" applyFill="1" applyBorder="1" applyAlignment="1" applyProtection="1">
      <alignment horizontal="center" vertical="center"/>
    </xf>
    <xf numFmtId="165" fontId="42" fillId="22" borderId="3" xfId="0" applyNumberFormat="1" applyFont="1" applyFill="1" applyBorder="1" applyAlignment="1" applyProtection="1">
      <alignment horizontal="center" vertical="center"/>
      <protection locked="0"/>
    </xf>
    <xf numFmtId="165" fontId="42" fillId="23" borderId="3" xfId="0" applyNumberFormat="1" applyFont="1" applyFill="1" applyBorder="1" applyAlignment="1" applyProtection="1">
      <alignment horizontal="center" vertical="center"/>
    </xf>
    <xf numFmtId="165" fontId="10" fillId="13" borderId="3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42" fillId="0" borderId="3" xfId="46" applyFont="1" applyFill="1" applyBorder="1" applyAlignment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2" fillId="0" borderId="3" xfId="46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42" fillId="0" borderId="3" xfId="46" applyFont="1" applyFill="1" applyBorder="1" applyAlignment="1">
      <alignment wrapText="1"/>
    </xf>
    <xf numFmtId="0" fontId="42" fillId="0" borderId="3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 applyProtection="1">
      <alignment horizontal="center" vertical="top"/>
      <protection locked="0"/>
    </xf>
    <xf numFmtId="165" fontId="5" fillId="2" borderId="1" xfId="0" applyNumberFormat="1" applyFont="1" applyFill="1" applyBorder="1" applyAlignment="1" applyProtection="1">
      <alignment horizontal="center" vertical="top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vertical="center"/>
      <protection locked="0"/>
    </xf>
    <xf numFmtId="0" fontId="10" fillId="11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165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5" fontId="10" fillId="2" borderId="13" xfId="0" applyNumberFormat="1" applyFont="1" applyFill="1" applyBorder="1" applyAlignment="1" applyProtection="1">
      <alignment horizontal="center" vertical="center"/>
      <protection locked="0"/>
    </xf>
    <xf numFmtId="165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165" fontId="10" fillId="2" borderId="12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</xf>
    <xf numFmtId="165" fontId="10" fillId="2" borderId="4" xfId="0" applyNumberFormat="1" applyFont="1" applyFill="1" applyBorder="1" applyAlignment="1" applyProtection="1">
      <alignment horizontal="center" vertical="center"/>
    </xf>
    <xf numFmtId="0" fontId="42" fillId="11" borderId="16" xfId="0" applyFont="1" applyFill="1" applyBorder="1" applyAlignment="1" applyProtection="1">
      <alignment horizontal="center" vertical="center"/>
      <protection locked="0"/>
    </xf>
    <xf numFmtId="165" fontId="10" fillId="2" borderId="23" xfId="0" applyNumberFormat="1" applyFont="1" applyFill="1" applyBorder="1" applyAlignment="1" applyProtection="1">
      <alignment horizontal="center" vertical="center"/>
      <protection locked="0"/>
    </xf>
    <xf numFmtId="165" fontId="10" fillId="2" borderId="3" xfId="0" applyNumberFormat="1" applyFont="1" applyFill="1" applyBorder="1" applyAlignment="1" applyProtection="1">
      <alignment horizontal="center" vertical="top"/>
    </xf>
    <xf numFmtId="0" fontId="42" fillId="0" borderId="3" xfId="0" applyFont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 applyProtection="1">
      <alignment horizontal="center" vertical="top"/>
    </xf>
    <xf numFmtId="165" fontId="49" fillId="3" borderId="1" xfId="0" applyNumberFormat="1" applyFont="1" applyFill="1" applyBorder="1" applyAlignment="1" applyProtection="1">
      <alignment horizontal="center" vertical="top"/>
    </xf>
    <xf numFmtId="165" fontId="42" fillId="3" borderId="3" xfId="0" applyNumberFormat="1" applyFont="1" applyFill="1" applyBorder="1" applyAlignment="1" applyProtection="1">
      <alignment horizontal="center" vertical="top"/>
    </xf>
    <xf numFmtId="165" fontId="9" fillId="2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2" borderId="3" xfId="0" applyFont="1" applyFill="1" applyBorder="1" applyAlignment="1" applyProtection="1">
      <alignment horizontal="center" vertical="top"/>
      <protection locked="0"/>
    </xf>
    <xf numFmtId="0" fontId="10" fillId="11" borderId="3" xfId="0" applyFont="1" applyFill="1" applyBorder="1" applyAlignment="1" applyProtection="1">
      <alignment horizontal="center" vertical="center" wrapText="1"/>
      <protection locked="0"/>
    </xf>
    <xf numFmtId="0" fontId="10" fillId="11" borderId="24" xfId="0" applyFont="1" applyFill="1" applyBorder="1" applyAlignment="1" applyProtection="1">
      <alignment horizontal="center" vertical="center" wrapText="1"/>
      <protection locked="0"/>
    </xf>
    <xf numFmtId="165" fontId="10" fillId="2" borderId="24" xfId="0" applyNumberFormat="1" applyFont="1" applyFill="1" applyBorder="1" applyAlignment="1" applyProtection="1">
      <alignment horizontal="center" vertical="center"/>
      <protection locked="0"/>
    </xf>
    <xf numFmtId="165" fontId="10" fillId="15" borderId="1" xfId="0" applyNumberFormat="1" applyFont="1" applyFill="1" applyBorder="1" applyAlignment="1" applyProtection="1">
      <alignment horizontal="center" vertical="center"/>
      <protection locked="0"/>
    </xf>
    <xf numFmtId="165" fontId="10" fillId="18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>
      <alignment horizontal="left" vertical="center"/>
    </xf>
    <xf numFmtId="165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65" fontId="10" fillId="2" borderId="12" xfId="0" applyNumberFormat="1" applyFont="1" applyFill="1" applyBorder="1" applyAlignment="1" applyProtection="1">
      <alignment horizontal="center" vertical="center"/>
    </xf>
    <xf numFmtId="165" fontId="10" fillId="3" borderId="12" xfId="0" applyNumberFormat="1" applyFont="1" applyFill="1" applyBorder="1" applyAlignment="1" applyProtection="1">
      <alignment horizontal="center" vertical="center"/>
    </xf>
    <xf numFmtId="165" fontId="42" fillId="3" borderId="12" xfId="0" applyNumberFormat="1" applyFont="1" applyFill="1" applyBorder="1" applyAlignment="1" applyProtection="1">
      <alignment horizontal="center" vertical="center"/>
    </xf>
    <xf numFmtId="0" fontId="42" fillId="0" borderId="3" xfId="17" applyFont="1" applyFill="1" applyBorder="1" applyAlignment="1">
      <alignment horizontal="left" vertical="center" wrapText="1"/>
    </xf>
    <xf numFmtId="165" fontId="10" fillId="17" borderId="3" xfId="0" applyNumberFormat="1" applyFont="1" applyFill="1" applyBorder="1" applyAlignment="1" applyProtection="1">
      <alignment horizontal="center" vertical="center"/>
      <protection locked="0"/>
    </xf>
    <xf numFmtId="165" fontId="10" fillId="16" borderId="3" xfId="0" applyNumberFormat="1" applyFont="1" applyFill="1" applyBorder="1" applyAlignment="1" applyProtection="1">
      <alignment horizontal="center" vertical="center"/>
      <protection locked="0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165" fontId="9" fillId="3" borderId="3" xfId="0" applyNumberFormat="1" applyFont="1" applyFill="1" applyBorder="1" applyAlignment="1" applyProtection="1">
      <alignment horizontal="center" vertical="top"/>
    </xf>
    <xf numFmtId="165" fontId="43" fillId="3" borderId="3" xfId="0" applyNumberFormat="1" applyFont="1" applyFill="1" applyBorder="1" applyAlignment="1" applyProtection="1">
      <alignment horizontal="center" vertical="top"/>
    </xf>
    <xf numFmtId="0" fontId="42" fillId="0" borderId="24" xfId="0" applyFont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11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3" xfId="17" applyFont="1" applyFill="1" applyBorder="1" applyAlignment="1">
      <alignment vertical="center" wrapText="1"/>
    </xf>
    <xf numFmtId="165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17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 applyProtection="1">
      <alignment vertical="center"/>
      <protection locked="0"/>
    </xf>
    <xf numFmtId="165" fontId="10" fillId="2" borderId="8" xfId="0" applyNumberFormat="1" applyFont="1" applyFill="1" applyBorder="1" applyAlignment="1" applyProtection="1">
      <alignment horizontal="center" vertical="center"/>
      <protection locked="0"/>
    </xf>
    <xf numFmtId="165" fontId="10" fillId="3" borderId="1" xfId="0" applyNumberFormat="1" applyFont="1" applyFill="1" applyBorder="1" applyAlignment="1" applyProtection="1">
      <alignment horizontal="center" vertical="top"/>
    </xf>
    <xf numFmtId="165" fontId="42" fillId="3" borderId="1" xfId="0" applyNumberFormat="1" applyFont="1" applyFill="1" applyBorder="1" applyAlignment="1" applyProtection="1">
      <alignment horizontal="center" vertical="top"/>
    </xf>
    <xf numFmtId="0" fontId="42" fillId="0" borderId="11" xfId="0" applyFont="1" applyFill="1" applyBorder="1" applyAlignment="1">
      <alignment horizontal="left" vertical="center" wrapText="1"/>
    </xf>
    <xf numFmtId="0" fontId="42" fillId="11" borderId="11" xfId="0" applyFont="1" applyFill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5" fontId="5" fillId="3" borderId="3" xfId="0" applyNumberFormat="1" applyFont="1" applyFill="1" applyBorder="1" applyAlignment="1" applyProtection="1">
      <alignment horizontal="center" vertical="top"/>
    </xf>
    <xf numFmtId="165" fontId="49" fillId="3" borderId="3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16" borderId="3" xfId="0" applyFont="1" applyFill="1" applyBorder="1" applyAlignment="1" applyProtection="1">
      <alignment horizontal="center" vertical="center"/>
      <protection locked="0"/>
    </xf>
    <xf numFmtId="0" fontId="53" fillId="0" borderId="3" xfId="46" applyFont="1" applyFill="1" applyBorder="1" applyAlignment="1">
      <alignment horizontal="left" vertical="center" wrapText="1"/>
    </xf>
    <xf numFmtId="165" fontId="54" fillId="35" borderId="31" xfId="0" applyNumberFormat="1" applyFont="1" applyFill="1" applyBorder="1" applyAlignment="1">
      <alignment horizontal="center" vertical="top"/>
    </xf>
    <xf numFmtId="165" fontId="49" fillId="35" borderId="31" xfId="0" applyNumberFormat="1" applyFont="1" applyFill="1" applyBorder="1" applyAlignment="1">
      <alignment horizontal="center" vertical="top"/>
    </xf>
    <xf numFmtId="0" fontId="42" fillId="0" borderId="31" xfId="0" applyFont="1" applyFill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3" xfId="34" applyFont="1" applyFill="1" applyBorder="1" applyAlignment="1">
      <alignment horizontal="left" vertical="center" wrapText="1"/>
    </xf>
    <xf numFmtId="165" fontId="44" fillId="0" borderId="3" xfId="0" applyNumberFormat="1" applyFont="1" applyBorder="1" applyAlignment="1">
      <alignment horizontal="center" vertical="center" wrapText="1"/>
    </xf>
    <xf numFmtId="165" fontId="44" fillId="16" borderId="3" xfId="0" applyNumberFormat="1" applyFont="1" applyFill="1" applyBorder="1" applyAlignment="1">
      <alignment horizontal="center" vertical="center" wrapText="1"/>
    </xf>
    <xf numFmtId="165" fontId="44" fillId="0" borderId="3" xfId="0" applyNumberFormat="1" applyFont="1" applyFill="1" applyBorder="1" applyAlignment="1">
      <alignment horizontal="center" vertical="center" wrapText="1"/>
    </xf>
    <xf numFmtId="165" fontId="44" fillId="28" borderId="3" xfId="0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65" fontId="42" fillId="2" borderId="0" xfId="17" applyNumberFormat="1" applyFont="1" applyFill="1" applyBorder="1" applyAlignment="1">
      <alignment horizontal="center" vertical="center"/>
    </xf>
    <xf numFmtId="165" fontId="42" fillId="3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/>
    <xf numFmtId="0" fontId="55" fillId="0" borderId="0" xfId="0" applyFont="1" applyBorder="1"/>
    <xf numFmtId="0" fontId="55" fillId="0" borderId="0" xfId="0" applyFont="1" applyAlignment="1">
      <alignment wrapText="1"/>
    </xf>
    <xf numFmtId="0" fontId="27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65" fontId="27" fillId="0" borderId="0" xfId="0" applyNumberFormat="1" applyFont="1" applyFill="1" applyBorder="1" applyAlignment="1" applyProtection="1">
      <alignment horizontal="center" vertical="top"/>
      <protection locked="0"/>
    </xf>
    <xf numFmtId="0" fontId="42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165" fontId="43" fillId="2" borderId="0" xfId="0" applyNumberFormat="1" applyFont="1" applyFill="1" applyBorder="1" applyAlignment="1" applyProtection="1">
      <alignment horizontal="center" vertical="center"/>
      <protection locked="0"/>
    </xf>
    <xf numFmtId="165" fontId="43" fillId="0" borderId="0" xfId="0" applyNumberFormat="1" applyFont="1" applyFill="1" applyBorder="1" applyAlignment="1" applyProtection="1">
      <alignment horizontal="center" vertical="center"/>
      <protection locked="0"/>
    </xf>
    <xf numFmtId="165" fontId="42" fillId="0" borderId="0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165" fontId="42" fillId="2" borderId="0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</xf>
    <xf numFmtId="165" fontId="42" fillId="2" borderId="3" xfId="0" applyNumberFormat="1" applyFont="1" applyFill="1" applyBorder="1" applyAlignment="1" applyProtection="1">
      <alignment horizontal="center" vertical="center"/>
      <protection locked="0"/>
    </xf>
    <xf numFmtId="165" fontId="52" fillId="2" borderId="3" xfId="0" applyNumberFormat="1" applyFont="1" applyFill="1" applyBorder="1" applyAlignment="1" applyProtection="1">
      <alignment horizontal="center" vertical="center"/>
      <protection locked="0"/>
    </xf>
    <xf numFmtId="165" fontId="42" fillId="0" borderId="3" xfId="0" applyNumberFormat="1" applyFont="1" applyFill="1" applyBorder="1" applyAlignment="1" applyProtection="1">
      <alignment vertical="center"/>
      <protection locked="0"/>
    </xf>
    <xf numFmtId="165" fontId="10" fillId="0" borderId="8" xfId="0" applyNumberFormat="1" applyFont="1" applyFill="1" applyBorder="1" applyAlignment="1">
      <alignment horizontal="center" vertical="center"/>
    </xf>
    <xf numFmtId="165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165" fontId="10" fillId="2" borderId="34" xfId="0" applyNumberFormat="1" applyFont="1" applyFill="1" applyBorder="1" applyAlignment="1" applyProtection="1">
      <alignment horizontal="center" vertical="center"/>
      <protection locked="0"/>
    </xf>
    <xf numFmtId="165" fontId="10" fillId="11" borderId="8" xfId="0" applyNumberFormat="1" applyFont="1" applyFill="1" applyBorder="1" applyAlignment="1" applyProtection="1">
      <alignment horizontal="center" vertical="center"/>
      <protection locked="0"/>
    </xf>
    <xf numFmtId="0" fontId="42" fillId="11" borderId="16" xfId="46" applyFont="1" applyFill="1" applyBorder="1" applyAlignment="1">
      <alignment horizontal="left" vertical="center" wrapText="1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165" fontId="10" fillId="2" borderId="35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17" applyNumberFormat="1" applyFont="1" applyFill="1" applyBorder="1" applyAlignment="1" applyProtection="1">
      <alignment horizontal="center" vertical="center" wrapText="1"/>
      <protection locked="0"/>
    </xf>
    <xf numFmtId="0" fontId="42" fillId="11" borderId="36" xfId="0" applyFont="1" applyFill="1" applyBorder="1" applyAlignment="1">
      <alignment horizontal="center" vertical="center"/>
    </xf>
    <xf numFmtId="0" fontId="42" fillId="11" borderId="3" xfId="0" applyFont="1" applyFill="1" applyBorder="1" applyAlignment="1" applyProtection="1">
      <alignment horizontal="center" vertical="center"/>
    </xf>
    <xf numFmtId="2" fontId="10" fillId="29" borderId="3" xfId="0" applyNumberFormat="1" applyFont="1" applyFill="1" applyBorder="1" applyAlignment="1">
      <alignment horizontal="center" vertical="center"/>
    </xf>
    <xf numFmtId="4" fontId="10" fillId="29" borderId="3" xfId="0" applyNumberFormat="1" applyFont="1" applyFill="1" applyBorder="1" applyAlignment="1">
      <alignment horizontal="center" vertical="center"/>
    </xf>
    <xf numFmtId="0" fontId="52" fillId="0" borderId="3" xfId="34" applyFont="1" applyFill="1" applyBorder="1" applyAlignment="1" applyProtection="1">
      <alignment horizontal="left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3" xfId="34" applyFont="1" applyFill="1" applyBorder="1" applyAlignment="1">
      <alignment horizontal="left" vertical="center" wrapText="1"/>
    </xf>
    <xf numFmtId="0" fontId="53" fillId="0" borderId="3" xfId="46" applyFont="1" applyFill="1" applyBorder="1" applyAlignment="1" applyProtection="1">
      <alignment horizontal="left" vertical="center" wrapText="1"/>
    </xf>
    <xf numFmtId="0" fontId="10" fillId="0" borderId="3" xfId="46" applyFont="1" applyFill="1" applyBorder="1" applyAlignment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3" xfId="46" applyFont="1" applyFill="1" applyBorder="1" applyAlignment="1" applyProtection="1">
      <alignment horizontal="left" vertical="center" wrapText="1"/>
    </xf>
    <xf numFmtId="0" fontId="42" fillId="0" borderId="3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10" fillId="0" borderId="3" xfId="46" applyFont="1" applyFill="1" applyBorder="1" applyAlignment="1">
      <alignment horizontal="left" vertical="center"/>
    </xf>
    <xf numFmtId="0" fontId="42" fillId="0" borderId="3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/>
    </xf>
    <xf numFmtId="0" fontId="42" fillId="0" borderId="16" xfId="46" applyFont="1" applyFill="1" applyBorder="1" applyAlignment="1">
      <alignment horizontal="left" vertical="center" wrapText="1"/>
    </xf>
    <xf numFmtId="0" fontId="42" fillId="0" borderId="0" xfId="0" applyFont="1" applyFill="1" applyProtection="1">
      <protection locked="0"/>
    </xf>
    <xf numFmtId="0" fontId="42" fillId="0" borderId="16" xfId="0" applyFont="1" applyFill="1" applyBorder="1" applyProtection="1">
      <protection locked="0"/>
    </xf>
    <xf numFmtId="0" fontId="42" fillId="0" borderId="16" xfId="0" applyFont="1" applyFill="1" applyBorder="1" applyAlignment="1" applyProtection="1">
      <alignment horizontal="left" vertical="center" wrapText="1"/>
      <protection locked="0"/>
    </xf>
    <xf numFmtId="0" fontId="42" fillId="11" borderId="1" xfId="0" applyFont="1" applyFill="1" applyBorder="1" applyAlignment="1" applyProtection="1">
      <alignment horizontal="left" vertical="center"/>
      <protection locked="0"/>
    </xf>
    <xf numFmtId="0" fontId="42" fillId="0" borderId="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59" fillId="11" borderId="3" xfId="0" applyFont="1" applyFill="1" applyBorder="1" applyAlignment="1">
      <alignment horizontal="left" vertical="center" wrapText="1"/>
    </xf>
    <xf numFmtId="0" fontId="59" fillId="11" borderId="3" xfId="46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 vertical="center" wrapText="1"/>
    </xf>
    <xf numFmtId="0" fontId="59" fillId="0" borderId="3" xfId="46" applyFont="1" applyFill="1" applyBorder="1" applyAlignment="1">
      <alignment horizontal="left" vertical="center" wrapText="1"/>
    </xf>
    <xf numFmtId="0" fontId="59" fillId="11" borderId="3" xfId="0" applyFont="1" applyFill="1" applyBorder="1" applyAlignment="1">
      <alignment horizontal="left" vertical="center"/>
    </xf>
    <xf numFmtId="0" fontId="59" fillId="11" borderId="3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center"/>
    </xf>
    <xf numFmtId="0" fontId="59" fillId="0" borderId="11" xfId="46" applyFont="1" applyFill="1" applyBorder="1" applyAlignment="1">
      <alignment horizontal="left" vertical="center" wrapText="1"/>
    </xf>
    <xf numFmtId="0" fontId="59" fillId="11" borderId="16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vertical="center"/>
    </xf>
    <xf numFmtId="0" fontId="59" fillId="0" borderId="3" xfId="0" applyFont="1" applyFill="1" applyBorder="1" applyAlignment="1">
      <alignment vertical="center" wrapText="1"/>
    </xf>
    <xf numFmtId="0" fontId="59" fillId="11" borderId="3" xfId="46" applyFont="1" applyFill="1" applyBorder="1" applyAlignment="1">
      <alignment vertical="center" wrapText="1"/>
    </xf>
    <xf numFmtId="0" fontId="59" fillId="0" borderId="3" xfId="46" applyFont="1" applyFill="1" applyBorder="1" applyAlignment="1">
      <alignment vertical="center"/>
    </xf>
    <xf numFmtId="0" fontId="59" fillId="0" borderId="3" xfId="46" applyFont="1" applyFill="1" applyBorder="1" applyAlignment="1">
      <alignment horizontal="left" vertical="center"/>
    </xf>
    <xf numFmtId="0" fontId="59" fillId="0" borderId="3" xfId="46" applyFont="1" applyFill="1" applyBorder="1" applyAlignment="1">
      <alignment vertical="center" wrapText="1"/>
    </xf>
    <xf numFmtId="0" fontId="42" fillId="0" borderId="0" xfId="0" applyFont="1" applyProtection="1">
      <protection locked="0"/>
    </xf>
    <xf numFmtId="165" fontId="10" fillId="2" borderId="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9" fillId="11" borderId="3" xfId="0" applyFont="1" applyFill="1" applyBorder="1" applyAlignment="1" applyProtection="1">
      <alignment horizontal="left" vertical="center"/>
      <protection locked="0"/>
    </xf>
    <xf numFmtId="0" fontId="59" fillId="11" borderId="3" xfId="0" applyFont="1" applyFill="1" applyBorder="1" applyAlignment="1" applyProtection="1">
      <alignment vertical="center" wrapText="1"/>
      <protection locked="0"/>
    </xf>
    <xf numFmtId="0" fontId="59" fillId="11" borderId="3" xfId="46" applyFont="1" applyFill="1" applyBorder="1" applyAlignment="1">
      <alignment horizontal="left" vertical="center"/>
    </xf>
    <xf numFmtId="0" fontId="59" fillId="0" borderId="1" xfId="0" applyFont="1" applyFill="1" applyBorder="1" applyAlignment="1" applyProtection="1">
      <alignment horizontal="left" vertical="center"/>
      <protection locked="0"/>
    </xf>
    <xf numFmtId="0" fontId="59" fillId="36" borderId="3" xfId="0" applyFont="1" applyFill="1" applyBorder="1" applyAlignment="1">
      <alignment horizontal="left" vertical="center" wrapText="1"/>
    </xf>
    <xf numFmtId="0" fontId="59" fillId="11" borderId="3" xfId="0" applyFont="1" applyFill="1" applyBorder="1" applyAlignment="1" applyProtection="1">
      <alignment horizontal="left" vertical="center" wrapText="1"/>
    </xf>
    <xf numFmtId="0" fontId="59" fillId="11" borderId="3" xfId="34" applyFont="1" applyFill="1" applyBorder="1" applyAlignment="1">
      <alignment horizontal="left" vertical="center" wrapText="1"/>
    </xf>
    <xf numFmtId="0" fontId="59" fillId="11" borderId="1" xfId="0" applyFont="1" applyFill="1" applyBorder="1" applyAlignment="1" applyProtection="1">
      <alignment horizontal="left" vertical="center"/>
      <protection locked="0"/>
    </xf>
    <xf numFmtId="0" fontId="59" fillId="11" borderId="1" xfId="0" applyFont="1" applyFill="1" applyBorder="1" applyAlignment="1" applyProtection="1">
      <alignment horizontal="left" vertical="center" wrapText="1"/>
      <protection locked="0"/>
    </xf>
    <xf numFmtId="0" fontId="59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 wrapText="1"/>
    </xf>
    <xf numFmtId="0" fontId="42" fillId="18" borderId="3" xfId="0" applyFont="1" applyFill="1" applyBorder="1" applyAlignment="1" applyProtection="1">
      <alignment horizontal="center" vertical="center"/>
      <protection locked="0"/>
    </xf>
    <xf numFmtId="0" fontId="59" fillId="11" borderId="3" xfId="0" applyFont="1" applyFill="1" applyBorder="1" applyAlignment="1" applyProtection="1">
      <alignment horizontal="left" vertical="top"/>
      <protection locked="0"/>
    </xf>
    <xf numFmtId="0" fontId="59" fillId="11" borderId="0" xfId="0" applyFont="1" applyFill="1" applyAlignment="1">
      <alignment horizontal="left" vertical="center"/>
    </xf>
    <xf numFmtId="0" fontId="59" fillId="0" borderId="24" xfId="16" applyFont="1" applyFill="1" applyBorder="1" applyAlignment="1">
      <alignment horizontal="left" vertical="center" wrapText="1"/>
    </xf>
    <xf numFmtId="0" fontId="59" fillId="11" borderId="3" xfId="17" applyFont="1" applyFill="1" applyBorder="1" applyAlignment="1">
      <alignment horizontal="left" vertical="center" wrapText="1"/>
    </xf>
    <xf numFmtId="0" fontId="59" fillId="11" borderId="3" xfId="34" applyFont="1" applyFill="1" applyBorder="1" applyAlignment="1">
      <alignment vertical="center" wrapText="1"/>
    </xf>
    <xf numFmtId="0" fontId="59" fillId="0" borderId="3" xfId="17" applyFont="1" applyFill="1" applyBorder="1" applyAlignment="1">
      <alignment horizontal="left" vertical="center" wrapText="1"/>
    </xf>
    <xf numFmtId="0" fontId="59" fillId="11" borderId="3" xfId="17" applyFont="1" applyFill="1" applyBorder="1" applyAlignment="1">
      <alignment vertical="center" wrapText="1"/>
    </xf>
    <xf numFmtId="0" fontId="59" fillId="11" borderId="3" xfId="0" applyFont="1" applyFill="1" applyBorder="1" applyAlignment="1" applyProtection="1">
      <alignment vertical="center" wrapText="1"/>
    </xf>
    <xf numFmtId="0" fontId="59" fillId="0" borderId="3" xfId="17" applyFont="1" applyFill="1" applyBorder="1" applyAlignment="1">
      <alignment vertical="center" wrapText="1"/>
    </xf>
    <xf numFmtId="0" fontId="59" fillId="0" borderId="3" xfId="34" applyFont="1" applyFill="1" applyBorder="1" applyAlignment="1">
      <alignment horizontal="left" vertical="center" wrapText="1"/>
    </xf>
    <xf numFmtId="0" fontId="59" fillId="0" borderId="3" xfId="34" applyFont="1" applyFill="1" applyBorder="1" applyAlignment="1">
      <alignment vertical="center" wrapText="1"/>
    </xf>
    <xf numFmtId="0" fontId="59" fillId="0" borderId="3" xfId="0" applyFont="1" applyFill="1" applyBorder="1" applyAlignment="1" applyProtection="1">
      <alignment vertical="center"/>
      <protection locked="0"/>
    </xf>
    <xf numFmtId="0" fontId="59" fillId="0" borderId="3" xfId="0" applyFont="1" applyFill="1" applyBorder="1" applyAlignment="1" applyProtection="1">
      <alignment horizontal="left" vertical="center"/>
      <protection locked="0"/>
    </xf>
    <xf numFmtId="0" fontId="59" fillId="11" borderId="3" xfId="17" applyNumberFormat="1" applyFont="1" applyFill="1" applyBorder="1" applyAlignment="1" applyProtection="1">
      <alignment horizontal="left" vertical="center"/>
      <protection locked="0"/>
    </xf>
    <xf numFmtId="0" fontId="59" fillId="11" borderId="3" xfId="17" applyFont="1" applyFill="1" applyBorder="1" applyAlignment="1" applyProtection="1">
      <alignment vertical="center" wrapText="1"/>
    </xf>
    <xf numFmtId="0" fontId="59" fillId="11" borderId="3" xfId="17" applyFont="1" applyFill="1" applyBorder="1" applyAlignment="1" applyProtection="1">
      <alignment horizontal="left" vertical="center" wrapText="1"/>
      <protection locked="0"/>
    </xf>
    <xf numFmtId="0" fontId="59" fillId="11" borderId="3" xfId="17" applyFont="1" applyFill="1" applyBorder="1" applyAlignment="1" applyProtection="1">
      <alignment vertical="center" wrapText="1"/>
      <protection locked="0"/>
    </xf>
    <xf numFmtId="0" fontId="59" fillId="11" borderId="3" xfId="17" applyFont="1" applyFill="1" applyBorder="1" applyAlignment="1" applyProtection="1">
      <alignment horizontal="left" vertical="center" wrapText="1"/>
    </xf>
    <xf numFmtId="0" fontId="59" fillId="0" borderId="3" xfId="17" applyFont="1" applyFill="1" applyBorder="1" applyAlignment="1" applyProtection="1">
      <alignment horizontal="left" vertical="center" wrapText="1"/>
    </xf>
    <xf numFmtId="0" fontId="59" fillId="0" borderId="3" xfId="17" applyFont="1" applyFill="1" applyBorder="1" applyAlignment="1" applyProtection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11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18" borderId="1" xfId="0" applyFont="1" applyFill="1" applyBorder="1" applyAlignment="1" applyProtection="1">
      <alignment horizontal="center" vertical="center" wrapText="1"/>
      <protection locked="0"/>
    </xf>
    <xf numFmtId="0" fontId="10" fillId="17" borderId="1" xfId="0" applyFont="1" applyFill="1" applyBorder="1" applyAlignment="1" applyProtection="1">
      <alignment horizontal="center" vertical="center" wrapText="1"/>
      <protection locked="0"/>
    </xf>
    <xf numFmtId="165" fontId="10" fillId="2" borderId="8" xfId="0" applyNumberFormat="1" applyFont="1" applyFill="1" applyBorder="1" applyAlignment="1" applyProtection="1">
      <alignment horizontal="center" vertical="center" wrapText="1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10" fillId="3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34" borderId="1" xfId="0" applyFont="1" applyFill="1" applyBorder="1" applyAlignment="1" applyProtection="1">
      <alignment horizontal="center" vertical="center" wrapText="1"/>
      <protection locked="0"/>
    </xf>
    <xf numFmtId="165" fontId="10" fillId="18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8" xfId="0" applyNumberFormat="1" applyFont="1" applyFill="1" applyBorder="1" applyAlignment="1" applyProtection="1">
      <alignment horizontal="center" vertical="center" wrapText="1"/>
    </xf>
    <xf numFmtId="165" fontId="10" fillId="17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18" borderId="3" xfId="17" applyNumberFormat="1" applyFont="1" applyFill="1" applyBorder="1" applyAlignment="1" applyProtection="1">
      <alignment horizontal="center" vertical="center" wrapText="1"/>
      <protection locked="0"/>
    </xf>
    <xf numFmtId="165" fontId="10" fillId="16" borderId="3" xfId="17" applyNumberFormat="1" applyFont="1" applyFill="1" applyBorder="1" applyAlignment="1" applyProtection="1">
      <alignment horizontal="center" vertical="center" wrapText="1"/>
      <protection locked="0"/>
    </xf>
    <xf numFmtId="165" fontId="10" fillId="17" borderId="3" xfId="17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165" fontId="10" fillId="16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165" fontId="10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3" xfId="0" applyNumberFormat="1" applyFont="1" applyFill="1" applyBorder="1" applyAlignment="1" applyProtection="1">
      <alignment horizontal="center" vertical="center" wrapText="1"/>
    </xf>
    <xf numFmtId="165" fontId="1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42" fillId="0" borderId="24" xfId="0" applyFont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5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33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8" xfId="17" applyNumberFormat="1" applyFont="1" applyFill="1" applyBorder="1" applyAlignment="1" applyProtection="1">
      <alignment horizontal="center" vertical="center" wrapText="1"/>
      <protection locked="0"/>
    </xf>
    <xf numFmtId="165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10" fillId="32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42" fillId="18" borderId="3" xfId="0" applyFont="1" applyFill="1" applyBorder="1" applyAlignment="1" applyProtection="1">
      <alignment horizontal="center" vertical="center" wrapText="1"/>
      <protection locked="0"/>
    </xf>
    <xf numFmtId="0" fontId="51" fillId="0" borderId="3" xfId="0" applyFont="1" applyFill="1" applyBorder="1" applyAlignment="1" applyProtection="1">
      <alignment horizontal="center" vertical="center" wrapText="1"/>
      <protection locked="0"/>
    </xf>
    <xf numFmtId="0" fontId="59" fillId="0" borderId="3" xfId="34" applyFont="1" applyFill="1" applyBorder="1" applyAlignment="1">
      <alignment horizontal="left" vertical="center"/>
    </xf>
    <xf numFmtId="0" fontId="59" fillId="11" borderId="12" xfId="17" applyFont="1" applyFill="1" applyBorder="1" applyAlignment="1">
      <alignment horizontal="left" vertical="center" wrapText="1"/>
    </xf>
    <xf numFmtId="0" fontId="59" fillId="11" borderId="12" xfId="34" applyFont="1" applyFill="1" applyBorder="1" applyAlignment="1">
      <alignment horizontal="left" vertical="center" wrapText="1"/>
    </xf>
    <xf numFmtId="0" fontId="59" fillId="11" borderId="3" xfId="34" applyFont="1" applyFill="1" applyBorder="1" applyAlignment="1">
      <alignment horizontal="left" vertical="center"/>
    </xf>
    <xf numFmtId="0" fontId="55" fillId="11" borderId="3" xfId="0" applyFont="1" applyFill="1" applyBorder="1" applyAlignment="1" applyProtection="1">
      <alignment horizontal="center" vertical="center" wrapText="1"/>
      <protection locked="0"/>
    </xf>
    <xf numFmtId="0" fontId="59" fillId="11" borderId="3" xfId="0" applyFont="1" applyFill="1" applyBorder="1" applyAlignment="1" applyProtection="1">
      <alignment horizontal="left" vertical="center"/>
    </xf>
    <xf numFmtId="0" fontId="59" fillId="11" borderId="3" xfId="0" applyFont="1" applyFill="1" applyBorder="1" applyAlignment="1" applyProtection="1">
      <alignment horizontal="left" vertical="center" wrapText="1"/>
      <protection locked="0"/>
    </xf>
    <xf numFmtId="0" fontId="59" fillId="11" borderId="12" xfId="0" applyFont="1" applyFill="1" applyBorder="1" applyAlignment="1">
      <alignment horizontal="left" vertical="center" wrapText="1"/>
    </xf>
    <xf numFmtId="165" fontId="42" fillId="3" borderId="1" xfId="0" applyNumberFormat="1" applyFont="1" applyFill="1" applyBorder="1" applyAlignment="1" applyProtection="1">
      <alignment horizontal="center" vertical="center"/>
    </xf>
    <xf numFmtId="165" fontId="42" fillId="3" borderId="37" xfId="0" applyNumberFormat="1" applyFont="1" applyFill="1" applyBorder="1" applyAlignment="1" applyProtection="1">
      <alignment horizontal="center" vertical="center"/>
    </xf>
    <xf numFmtId="165" fontId="42" fillId="3" borderId="13" xfId="0" applyNumberFormat="1" applyFont="1" applyFill="1" applyBorder="1" applyAlignment="1" applyProtection="1">
      <alignment horizontal="center" vertical="center"/>
    </xf>
    <xf numFmtId="165" fontId="42" fillId="3" borderId="32" xfId="0" applyNumberFormat="1" applyFont="1" applyFill="1" applyBorder="1" applyAlignment="1" applyProtection="1">
      <alignment horizontal="center" vertical="center"/>
    </xf>
    <xf numFmtId="0" fontId="59" fillId="0" borderId="3" xfId="34" applyFont="1" applyFill="1" applyBorder="1" applyAlignment="1" applyProtection="1">
      <alignment horizontal="left" vertical="center" wrapText="1"/>
    </xf>
    <xf numFmtId="0" fontId="59" fillId="11" borderId="3" xfId="34" applyFont="1" applyFill="1" applyBorder="1" applyAlignment="1" applyProtection="1">
      <alignment horizontal="left" vertical="center" wrapText="1"/>
    </xf>
    <xf numFmtId="0" fontId="59" fillId="0" borderId="3" xfId="0" applyFont="1" applyFill="1" applyBorder="1" applyAlignment="1" applyProtection="1">
      <alignment vertical="center" wrapText="1"/>
      <protection locked="0"/>
    </xf>
    <xf numFmtId="0" fontId="59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12" xfId="0" applyFont="1" applyFill="1" applyBorder="1" applyAlignment="1" applyProtection="1">
      <alignment vertical="center"/>
      <protection locked="0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59" fillId="0" borderId="3" xfId="34" applyFont="1" applyFill="1" applyBorder="1" applyAlignment="1" applyProtection="1">
      <alignment horizontal="left" vertical="center"/>
    </xf>
    <xf numFmtId="0" fontId="42" fillId="35" borderId="31" xfId="0" applyFont="1" applyFill="1" applyBorder="1" applyAlignment="1">
      <alignment horizontal="center" vertical="center"/>
    </xf>
    <xf numFmtId="165" fontId="42" fillId="35" borderId="31" xfId="0" applyNumberFormat="1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56" fillId="0" borderId="21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  <protection locked="0"/>
    </xf>
    <xf numFmtId="0" fontId="28" fillId="7" borderId="3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15" fillId="11" borderId="3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43" fontId="42" fillId="0" borderId="21" xfId="47" applyFont="1" applyBorder="1" applyAlignment="1">
      <alignment vertical="center" wrapText="1"/>
    </xf>
    <xf numFmtId="43" fontId="42" fillId="0" borderId="0" xfId="47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8" fillId="0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</cellXfs>
  <cellStyles count="48">
    <cellStyle name="60% - Énfasis2 2" xfId="1" xr:uid="{00000000-0005-0000-0000-000000000000}"/>
    <cellStyle name="Euro" xfId="2" xr:uid="{00000000-0005-0000-0000-000001000000}"/>
    <cellStyle name="Euro 2" xfId="3" xr:uid="{00000000-0005-0000-0000-000002000000}"/>
    <cellStyle name="Euro 2 2" xfId="4" xr:uid="{00000000-0005-0000-0000-000003000000}"/>
    <cellStyle name="Euro 3" xfId="5" xr:uid="{00000000-0005-0000-0000-000004000000}"/>
    <cellStyle name="Euro 4" xfId="6" xr:uid="{00000000-0005-0000-0000-000005000000}"/>
    <cellStyle name="Euro 4 2" xfId="7" xr:uid="{00000000-0005-0000-0000-000006000000}"/>
    <cellStyle name="Millares" xfId="47" builtinId="3"/>
    <cellStyle name="Millares 2" xfId="8" xr:uid="{00000000-0005-0000-0000-000008000000}"/>
    <cellStyle name="Millares 3" xfId="9" xr:uid="{00000000-0005-0000-0000-000009000000}"/>
    <cellStyle name="Millares 4" xfId="10" xr:uid="{00000000-0005-0000-0000-00000A000000}"/>
    <cellStyle name="Millares 4 2" xfId="11" xr:uid="{00000000-0005-0000-0000-00000B000000}"/>
    <cellStyle name="Millares 5" xfId="12" xr:uid="{00000000-0005-0000-0000-00000C000000}"/>
    <cellStyle name="Millares 5 2" xfId="13" xr:uid="{00000000-0005-0000-0000-00000D000000}"/>
    <cellStyle name="Millares 6" xfId="14" xr:uid="{00000000-0005-0000-0000-00000E000000}"/>
    <cellStyle name="Millares 6 2" xfId="15" xr:uid="{00000000-0005-0000-0000-00000F000000}"/>
    <cellStyle name="Normal" xfId="0" builtinId="0"/>
    <cellStyle name="Normal 2" xfId="16" xr:uid="{00000000-0005-0000-0000-000011000000}"/>
    <cellStyle name="Normal 2 2" xfId="17" xr:uid="{00000000-0005-0000-0000-000012000000}"/>
    <cellStyle name="Normal 2 2 2" xfId="18" xr:uid="{00000000-0005-0000-0000-000013000000}"/>
    <cellStyle name="Normal 2 3" xfId="19" xr:uid="{00000000-0005-0000-0000-000014000000}"/>
    <cellStyle name="Normal 2 4" xfId="20" xr:uid="{00000000-0005-0000-0000-000015000000}"/>
    <cellStyle name="Normal 3" xfId="21" xr:uid="{00000000-0005-0000-0000-000016000000}"/>
    <cellStyle name="Normal 3 2" xfId="22" xr:uid="{00000000-0005-0000-0000-000017000000}"/>
    <cellStyle name="Normal 3 2 2" xfId="23" xr:uid="{00000000-0005-0000-0000-000018000000}"/>
    <cellStyle name="Normal 3 3" xfId="24" xr:uid="{00000000-0005-0000-0000-000019000000}"/>
    <cellStyle name="Normal 3 4" xfId="25" xr:uid="{00000000-0005-0000-0000-00001A000000}"/>
    <cellStyle name="Normal 4" xfId="26" xr:uid="{00000000-0005-0000-0000-00001B000000}"/>
    <cellStyle name="Normal 4 2" xfId="27" xr:uid="{00000000-0005-0000-0000-00001C000000}"/>
    <cellStyle name="Normal 5" xfId="28" xr:uid="{00000000-0005-0000-0000-00001D000000}"/>
    <cellStyle name="Normal 5 2" xfId="29" xr:uid="{00000000-0005-0000-0000-00001E000000}"/>
    <cellStyle name="Normal 6" xfId="30" xr:uid="{00000000-0005-0000-0000-00001F000000}"/>
    <cellStyle name="Normal 6 2" xfId="31" xr:uid="{00000000-0005-0000-0000-000020000000}"/>
    <cellStyle name="Normal 7" xfId="32" xr:uid="{00000000-0005-0000-0000-000021000000}"/>
    <cellStyle name="Normal 7 2" xfId="33" xr:uid="{00000000-0005-0000-0000-000022000000}"/>
    <cellStyle name="Notas" xfId="46" builtinId="10"/>
    <cellStyle name="Notas 2" xfId="34" xr:uid="{00000000-0005-0000-0000-000024000000}"/>
    <cellStyle name="Notas 2 2" xfId="35" xr:uid="{00000000-0005-0000-0000-000025000000}"/>
    <cellStyle name="Notas 3" xfId="36" xr:uid="{00000000-0005-0000-0000-000026000000}"/>
    <cellStyle name="Notas 3 2" xfId="37" xr:uid="{00000000-0005-0000-0000-000027000000}"/>
    <cellStyle name="Notas 4" xfId="38" xr:uid="{00000000-0005-0000-0000-000028000000}"/>
    <cellStyle name="Notas 4 2" xfId="39" xr:uid="{00000000-0005-0000-0000-000029000000}"/>
    <cellStyle name="Porcentaje 2" xfId="40" xr:uid="{00000000-0005-0000-0000-00002A000000}"/>
    <cellStyle name="Porcentaje 2 2" xfId="41" xr:uid="{00000000-0005-0000-0000-00002B000000}"/>
    <cellStyle name="Porcentaje 3" xfId="42" xr:uid="{00000000-0005-0000-0000-00002C000000}"/>
    <cellStyle name="Porcentaje 3 2" xfId="43" xr:uid="{00000000-0005-0000-0000-00002D000000}"/>
    <cellStyle name="Porcentaje 4" xfId="44" xr:uid="{00000000-0005-0000-0000-00002E000000}"/>
    <cellStyle name="Porcentaje 4 2" xfId="45" xr:uid="{00000000-0005-0000-0000-00002F000000}"/>
  </cellStyles>
  <dxfs count="14432">
    <dxf>
      <fill>
        <patternFill patternType="solid">
          <fgColor rgb="FF8DB3E2"/>
          <bgColor rgb="FF8DB3E2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6CCFF"/>
      <color rgb="FF33CCFF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2. 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Numero y porcentaje de acueductos rurales por  nivel de riesgo sanitario .Antioquia  - 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'CONSOLIDADO-ACUEDUCTOSRURALES2'!$B$7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6433714527742477"/>
                  <c:y val="5.05552666765693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C9-467A-9691-805E6294C450}"/>
                </c:ext>
              </c:extLst>
            </c:dLbl>
            <c:dLbl>
              <c:idx val="1"/>
              <c:layout>
                <c:manualLayout>
                  <c:x val="7.1156289707750925E-2"/>
                  <c:y val="2.564807329451925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C9-467A-9691-805E6294C450}"/>
                </c:ext>
              </c:extLst>
            </c:dLbl>
            <c:dLbl>
              <c:idx val="2"/>
              <c:layout>
                <c:manualLayout>
                  <c:x val="6.9462092333756886E-2"/>
                  <c:y val="7.69437444229807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C9-467A-9691-805E6294C450}"/>
                </c:ext>
              </c:extLst>
            </c:dLbl>
            <c:dLbl>
              <c:idx val="3"/>
              <c:layout>
                <c:manualLayout>
                  <c:x val="0.16941960399803893"/>
                  <c:y val="2.42720249591442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C9-467A-9691-805E6294C450}"/>
                </c:ext>
              </c:extLst>
            </c:dLbl>
            <c:dLbl>
              <c:idx val="4"/>
              <c:layout>
                <c:manualLayout>
                  <c:x val="0.3625582380347312"/>
                  <c:y val="2.63892293662544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C9-467A-9691-805E6294C450}"/>
                </c:ext>
              </c:extLst>
            </c:dLbl>
            <c:dLbl>
              <c:idx val="5"/>
              <c:layout>
                <c:manualLayout>
                  <c:x val="9.917271141615551E-2"/>
                  <c:y val="1.218243945921421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C9-467A-9691-805E6294C4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('CONSOLIDADO-ACUEDUCTOSRURALES2'!$D$17,'CONSOLIDADO-ACUEDUCTOSRURALES2'!$F$17,'CONSOLIDADO-ACUEDUCTOSRURALES2'!$H$17,'CONSOLIDADO-ACUEDUCTOSRURALES2'!$J$17,'CONSOLIDADO-ACUEDUCTOSRURALES2'!$L$17,'CONSOLIDADO-ACUEDUCTOSRURALES2'!$N$17)</c:f>
              <c:numCache>
                <c:formatCode>General</c:formatCode>
                <c:ptCount val="6"/>
                <c:pt idx="0">
                  <c:v>409</c:v>
                </c:pt>
                <c:pt idx="1">
                  <c:v>82</c:v>
                </c:pt>
                <c:pt idx="2">
                  <c:v>148</c:v>
                </c:pt>
                <c:pt idx="3">
                  <c:v>438</c:v>
                </c:pt>
                <c:pt idx="4">
                  <c:v>1084</c:v>
                </c:pt>
                <c:pt idx="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9-467A-9691-805E6294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266073088"/>
        <c:axId val="268639552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'CONSOLIDADO-ACUEDUCTOSRURALES2'!$C$7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99C9-467A-9691-805E6294C45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99C9-467A-9691-805E6294C45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99C9-467A-9691-805E6294C45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99C9-467A-9691-805E6294C450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99C9-467A-9691-805E6294C45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99C9-467A-9691-805E6294C450}"/>
              </c:ext>
            </c:extLst>
          </c:dPt>
          <c:dLbls>
            <c:dLbl>
              <c:idx val="4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9C9-467A-9691-805E6294C45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9C9-467A-9691-805E6294C4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('CONSOLIDADO-ACUEDUCTOSRURALES2'!$E$17,'CONSOLIDADO-ACUEDUCTOSRURALES2'!$G$17,'CONSOLIDADO-ACUEDUCTOSRURALES2'!$I$17,'CONSOLIDADO-ACUEDUCTOSRURALES2'!$K$17,'CONSOLIDADO-ACUEDUCTOSRURALES2'!$M$17,'CONSOLIDADO-ACUEDUCTOSRURALES2'!$O$17)</c:f>
              <c:numCache>
                <c:formatCode>0.0</c:formatCode>
                <c:ptCount val="6"/>
                <c:pt idx="0">
                  <c:v>17.323168149089369</c:v>
                </c:pt>
                <c:pt idx="1">
                  <c:v>3.4731046166878441</c:v>
                </c:pt>
                <c:pt idx="2">
                  <c:v>6.2685302837780608</c:v>
                </c:pt>
                <c:pt idx="3">
                  <c:v>18.551461245235071</c:v>
                </c:pt>
                <c:pt idx="4">
                  <c:v>45.912748835239306</c:v>
                </c:pt>
                <c:pt idx="5">
                  <c:v>8.4709868699703517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9C9-467A-9691-805E6294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5"/>
        <c:axId val="266073600"/>
        <c:axId val="269819904"/>
      </c:barChart>
      <c:catAx>
        <c:axId val="26607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639552"/>
        <c:crosses val="autoZero"/>
        <c:auto val="1"/>
        <c:lblAlgn val="ctr"/>
        <c:lblOffset val="100"/>
        <c:noMultiLvlLbl val="0"/>
      </c:catAx>
      <c:valAx>
        <c:axId val="268639552"/>
        <c:scaling>
          <c:orientation val="minMax"/>
          <c:max val="1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822087928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66073088"/>
        <c:crosses val="autoZero"/>
        <c:crossBetween val="between"/>
      </c:valAx>
      <c:catAx>
        <c:axId val="266073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9819904"/>
        <c:crosses val="autoZero"/>
        <c:auto val="1"/>
        <c:lblAlgn val="ctr"/>
        <c:lblOffset val="100"/>
        <c:noMultiLvlLbl val="0"/>
      </c:catAx>
      <c:valAx>
        <c:axId val="269819904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07682995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660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10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Occidente - Antioquia -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'CONSOLIDADO-ACUEDUCTOSRURALES2'!$B$78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908513341804321E-2"/>
                  <c:y val="-2.53678060357397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A9-41B1-BC75-80E2E73BFBDD}"/>
                </c:ext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A9-41B1-BC75-80E2E73BFBDD}"/>
                </c:ext>
              </c:extLst>
            </c:dLbl>
            <c:dLbl>
              <c:idx val="2"/>
              <c:layout>
                <c:manualLayout>
                  <c:x val="4.7437526471833968E-2"/>
                  <c:y val="3.8414738387586611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A9-41B1-BC75-80E2E73BFBDD}"/>
                </c:ext>
              </c:extLst>
            </c:dLbl>
            <c:dLbl>
              <c:idx val="3"/>
              <c:layout>
                <c:manualLayout>
                  <c:x val="6.9462092333756886E-2"/>
                  <c:y val="2.554278416347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A9-41B1-BC75-80E2E73BFBDD}"/>
                </c:ext>
              </c:extLst>
            </c:dLbl>
            <c:dLbl>
              <c:idx val="4"/>
              <c:layout>
                <c:manualLayout>
                  <c:x val="0.34402785420564475"/>
                  <c:y val="1.3877575647824775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A9-41B1-BC75-80E2E73BFBDD}"/>
                </c:ext>
              </c:extLst>
            </c:dLbl>
            <c:dLbl>
              <c:idx val="5"/>
              <c:layout>
                <c:manualLayout>
                  <c:x val="8.0229050148909214E-2"/>
                  <c:y val="-3.6202371255317224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A9-41B1-BC75-80E2E73BF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('CONSOLIDADO-ACUEDUCTOSRURALES2'!$D$78,'CONSOLIDADO-ACUEDUCTOSRURALES2'!$F$78,'CONSOLIDADO-ACUEDUCTOSRURALES2'!$H$78,'CONSOLIDADO-ACUEDUCTOSRURALES2'!$J$78,'CONSOLIDADO-ACUEDUCTOSRURALES2'!$L$78,'CONSOLIDADO-ACUEDUCTOSRURALES2'!$N$78)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('CONSOLIDADO-ACUEDUCTOSRURALES2'!$D$98,'CONSOLIDADO-ACUEDUCTOSRURALES2'!$F$98,'CONSOLIDADO-ACUEDUCTOSRURALES2'!$H$98,'CONSOLIDADO-ACUEDUCTOSRURALES2'!$J$98,'CONSOLIDADO-ACUEDUCTOSRURALES2'!$L$98,'CONSOLIDADO-ACUEDUCTOSRURALES2'!$N$98)</c:f>
              <c:numCache>
                <c:formatCode>General</c:formatCode>
                <c:ptCount val="6"/>
                <c:pt idx="0">
                  <c:v>21</c:v>
                </c:pt>
                <c:pt idx="1">
                  <c:v>1</c:v>
                </c:pt>
                <c:pt idx="2">
                  <c:v>4</c:v>
                </c:pt>
                <c:pt idx="3">
                  <c:v>59</c:v>
                </c:pt>
                <c:pt idx="4">
                  <c:v>356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A9-41B1-BC75-80E2E73B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5022848"/>
        <c:axId val="275295616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'CONSOLIDADO-ACUEDUCTOSRURALES2'!$C$78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1DA9-41B1-BC75-80E2E73BFBD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1DA9-41B1-BC75-80E2E73BFB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1DA9-41B1-BC75-80E2E73BFB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1DA9-41B1-BC75-80E2E73BFBDD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1DA9-41B1-BC75-80E2E73BFBD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1DA9-41B1-BC75-80E2E73BFBDD}"/>
              </c:ext>
            </c:extLst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A9-41B1-BC75-80E2E73BFBDD}"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A9-41B1-BC75-80E2E73BFBDD}"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A9-41B1-BC75-80E2E73BFBDD}"/>
                </c:ext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A9-41B1-BC75-80E2E73BFBDD}"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A9-41B1-BC75-80E2E73BFB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('CONSOLIDADO-ACUEDUCTOSRURALES2'!$E$98,'CONSOLIDADO-ACUEDUCTOSRURALES2'!$G$98,'CONSOLIDADO-ACUEDUCTOSRURALES2'!$I$98,'CONSOLIDADO-ACUEDUCTOSRURALES2'!$K$98,'CONSOLIDADO-ACUEDUCTOSRURALES2'!$M$98,'CONSOLIDADO-ACUEDUCTOSRURALES2'!$O$98)</c:f>
              <c:numCache>
                <c:formatCode>0.0</c:formatCode>
                <c:ptCount val="6"/>
                <c:pt idx="0">
                  <c:v>4.2596348884381339</c:v>
                </c:pt>
                <c:pt idx="1">
                  <c:v>0.20283975659229209</c:v>
                </c:pt>
                <c:pt idx="2">
                  <c:v>0.81135902636916835</c:v>
                </c:pt>
                <c:pt idx="3">
                  <c:v>11.967545638945234</c:v>
                </c:pt>
                <c:pt idx="4">
                  <c:v>72.210953346855987</c:v>
                </c:pt>
                <c:pt idx="5">
                  <c:v>10.547667342799189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DA9-41B1-BC75-80E2E73B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275131392"/>
        <c:axId val="275296192"/>
      </c:barChart>
      <c:catAx>
        <c:axId val="27502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295616"/>
        <c:crosses val="autoZero"/>
        <c:auto val="1"/>
        <c:lblAlgn val="ctr"/>
        <c:lblOffset val="100"/>
        <c:noMultiLvlLbl val="0"/>
      </c:catAx>
      <c:valAx>
        <c:axId val="27529561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1493607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022848"/>
        <c:crosses val="autoZero"/>
        <c:crossBetween val="between"/>
      </c:valAx>
      <c:catAx>
        <c:axId val="275131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5296192"/>
        <c:crosses val="autoZero"/>
        <c:auto val="1"/>
        <c:lblAlgn val="ctr"/>
        <c:lblOffset val="100"/>
        <c:noMultiLvlLbl val="0"/>
      </c:catAx>
      <c:valAx>
        <c:axId val="275296192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40953579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131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11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Suroeste - Antioquia- Colombia 2021</a:t>
            </a:r>
          </a:p>
        </c:rich>
      </c:tx>
      <c:layout>
        <c:manualLayout>
          <c:xMode val="edge"/>
          <c:yMode val="edge"/>
          <c:x val="0.17977430486163851"/>
          <c:y val="1.19760466834849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'CONSOLIDADO-ACUEDUCTOSRURALES2'!$B$102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'CONSOLIDADO-ACUEDUCTOSRURALES2'!$A$103:$A$125</c:f>
              <c:strCache>
                <c:ptCount val="23"/>
                <c:pt idx="0">
                  <c:v>Amaga</c:v>
                </c:pt>
                <c:pt idx="1">
                  <c:v>Andes</c:v>
                </c:pt>
                <c:pt idx="2">
                  <c:v>Angelópolis</c:v>
                </c:pt>
                <c:pt idx="3">
                  <c:v>Betania</c:v>
                </c:pt>
                <c:pt idx="4">
                  <c:v>Betulia</c:v>
                </c:pt>
                <c:pt idx="5">
                  <c:v>Caramanta</c:v>
                </c:pt>
                <c:pt idx="6">
                  <c:v>Ciudad Bolívar</c:v>
                </c:pt>
                <c:pt idx="7">
                  <c:v>Concordia</c:v>
                </c:pt>
                <c:pt idx="8">
                  <c:v>Fredonia</c:v>
                </c:pt>
                <c:pt idx="9">
                  <c:v>Hispania</c:v>
                </c:pt>
                <c:pt idx="10">
                  <c:v>Jardín</c:v>
                </c:pt>
                <c:pt idx="11">
                  <c:v>Jericó</c:v>
                </c:pt>
                <c:pt idx="12">
                  <c:v>La Pintada</c:v>
                </c:pt>
                <c:pt idx="13">
                  <c:v>Montebello</c:v>
                </c:pt>
                <c:pt idx="14">
                  <c:v>Pueblorrico</c:v>
                </c:pt>
                <c:pt idx="15">
                  <c:v>Salgar</c:v>
                </c:pt>
                <c:pt idx="16">
                  <c:v>Santa Bárbara</c:v>
                </c:pt>
                <c:pt idx="17">
                  <c:v>Tamesis</c:v>
                </c:pt>
                <c:pt idx="18">
                  <c:v>Tarso</c:v>
                </c:pt>
                <c:pt idx="19">
                  <c:v>Titiribí</c:v>
                </c:pt>
                <c:pt idx="20">
                  <c:v>Urrao</c:v>
                </c:pt>
                <c:pt idx="21">
                  <c:v>Valparaíso</c:v>
                </c:pt>
                <c:pt idx="22">
                  <c:v>Venecia</c:v>
                </c:pt>
              </c:strCache>
            </c:strRef>
          </c:cat>
          <c:val>
            <c:numRef>
              <c:f>'CONSOLIDADO-ACUEDUCTOSRURALES2'!$B$103:$B$125</c:f>
              <c:numCache>
                <c:formatCode>General</c:formatCode>
                <c:ptCount val="23"/>
                <c:pt idx="0">
                  <c:v>34</c:v>
                </c:pt>
                <c:pt idx="1">
                  <c:v>56</c:v>
                </c:pt>
                <c:pt idx="2">
                  <c:v>12</c:v>
                </c:pt>
                <c:pt idx="3">
                  <c:v>20</c:v>
                </c:pt>
                <c:pt idx="4">
                  <c:v>28</c:v>
                </c:pt>
                <c:pt idx="5">
                  <c:v>16</c:v>
                </c:pt>
                <c:pt idx="6">
                  <c:v>17</c:v>
                </c:pt>
                <c:pt idx="7">
                  <c:v>21</c:v>
                </c:pt>
                <c:pt idx="8">
                  <c:v>36</c:v>
                </c:pt>
                <c:pt idx="9">
                  <c:v>9</c:v>
                </c:pt>
                <c:pt idx="10">
                  <c:v>23</c:v>
                </c:pt>
                <c:pt idx="11">
                  <c:v>25</c:v>
                </c:pt>
                <c:pt idx="12">
                  <c:v>0</c:v>
                </c:pt>
                <c:pt idx="13">
                  <c:v>18</c:v>
                </c:pt>
                <c:pt idx="14">
                  <c:v>6</c:v>
                </c:pt>
                <c:pt idx="15">
                  <c:v>26</c:v>
                </c:pt>
                <c:pt idx="16">
                  <c:v>41</c:v>
                </c:pt>
                <c:pt idx="17">
                  <c:v>33</c:v>
                </c:pt>
                <c:pt idx="18">
                  <c:v>13</c:v>
                </c:pt>
                <c:pt idx="19">
                  <c:v>23</c:v>
                </c:pt>
                <c:pt idx="20">
                  <c:v>27</c:v>
                </c:pt>
                <c:pt idx="21">
                  <c:v>15</c:v>
                </c:pt>
                <c:pt idx="2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D-4F1A-88D9-A3EDDA45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78"/>
        <c:axId val="275447808"/>
        <c:axId val="275218432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'CONSOLIDADO-ACUEDUCTOSRURALES2'!$C$103:$C$125</c:f>
              <c:numCache>
                <c:formatCode>0.0</c:formatCode>
                <c:ptCount val="23"/>
                <c:pt idx="0">
                  <c:v>6.666666666666667</c:v>
                </c:pt>
                <c:pt idx="1">
                  <c:v>10.980392156862745</c:v>
                </c:pt>
                <c:pt idx="2">
                  <c:v>2.3529411764705883</c:v>
                </c:pt>
                <c:pt idx="3">
                  <c:v>3.9215686274509802</c:v>
                </c:pt>
                <c:pt idx="4">
                  <c:v>5.4901960784313726</c:v>
                </c:pt>
                <c:pt idx="5">
                  <c:v>3.1372549019607843</c:v>
                </c:pt>
                <c:pt idx="6">
                  <c:v>3.3333333333333335</c:v>
                </c:pt>
                <c:pt idx="7">
                  <c:v>4.117647058823529</c:v>
                </c:pt>
                <c:pt idx="8">
                  <c:v>7.0588235294117645</c:v>
                </c:pt>
                <c:pt idx="9">
                  <c:v>1.7647058823529411</c:v>
                </c:pt>
                <c:pt idx="10">
                  <c:v>4.5098039215686274</c:v>
                </c:pt>
                <c:pt idx="11">
                  <c:v>4.9019607843137258</c:v>
                </c:pt>
                <c:pt idx="12">
                  <c:v>0</c:v>
                </c:pt>
                <c:pt idx="13">
                  <c:v>3.5294117647058822</c:v>
                </c:pt>
                <c:pt idx="14">
                  <c:v>1.1764705882352942</c:v>
                </c:pt>
                <c:pt idx="15">
                  <c:v>5.0980392156862742</c:v>
                </c:pt>
                <c:pt idx="16">
                  <c:v>8.0392156862745097</c:v>
                </c:pt>
                <c:pt idx="17">
                  <c:v>6.4705882352941186</c:v>
                </c:pt>
                <c:pt idx="18">
                  <c:v>2.5490196078431371</c:v>
                </c:pt>
                <c:pt idx="19">
                  <c:v>4.5098039215686274</c:v>
                </c:pt>
                <c:pt idx="20">
                  <c:v>5.2941176470588234</c:v>
                </c:pt>
                <c:pt idx="21">
                  <c:v>2.9411764705882351</c:v>
                </c:pt>
                <c:pt idx="22">
                  <c:v>2.1568627450980391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D-4F1A-88D9-A3EDDA45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130368"/>
        <c:axId val="275219008"/>
      </c:barChart>
      <c:catAx>
        <c:axId val="2754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218432"/>
        <c:crossesAt val="0"/>
        <c:auto val="1"/>
        <c:lblAlgn val="ctr"/>
        <c:lblOffset val="100"/>
        <c:noMultiLvlLbl val="0"/>
      </c:catAx>
      <c:valAx>
        <c:axId val="275218432"/>
        <c:scaling>
          <c:orientation val="minMax"/>
          <c:max val="6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47017302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447808"/>
        <c:crosses val="autoZero"/>
        <c:crossBetween val="between"/>
        <c:majorUnit val="5"/>
      </c:valAx>
      <c:catAx>
        <c:axId val="27513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219008"/>
        <c:crosses val="autoZero"/>
        <c:auto val="1"/>
        <c:lblAlgn val="ctr"/>
        <c:lblOffset val="100"/>
        <c:noMultiLvlLbl val="0"/>
      </c:catAx>
      <c:valAx>
        <c:axId val="275219008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130368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1431083251"/>
          <c:w val="0.4600726114819404"/>
          <c:h val="6.0105700379685545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12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psubregión Suroeste - Antioquia - Colombia  2021</a:t>
            </a:r>
          </a:p>
        </c:rich>
      </c:tx>
      <c:layout>
        <c:manualLayout>
          <c:xMode val="edge"/>
          <c:yMode val="edge"/>
          <c:x val="0.11235490099950976"/>
          <c:y val="7.6677329396325454E-3"/>
        </c:manualLayout>
      </c:layout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'CONSOLIDADO-ACUEDUCTOSRURALES2'!$B$102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541719610334604"/>
                  <c:y val="-2.54001157203592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33-44BF-BF8C-3B3D3E63493B}"/>
                </c:ext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33-44BF-BF8C-3B3D3E63493B}"/>
                </c:ext>
              </c:extLst>
            </c:dLbl>
            <c:dLbl>
              <c:idx val="2"/>
              <c:layout>
                <c:manualLayout>
                  <c:x val="5.9296908089792523E-2"/>
                  <c:y val="2.5943498276772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33-44BF-BF8C-3B3D3E63493B}"/>
                </c:ext>
              </c:extLst>
            </c:dLbl>
            <c:dLbl>
              <c:idx val="3"/>
              <c:layout>
                <c:manualLayout>
                  <c:x val="0.22363405336721728"/>
                  <c:y val="5.11021106387260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33-44BF-BF8C-3B3D3E63493B}"/>
                </c:ext>
              </c:extLst>
            </c:dLbl>
            <c:dLbl>
              <c:idx val="4"/>
              <c:layout>
                <c:manualLayout>
                  <c:x val="0.36266402531957964"/>
                  <c:y val="2.56818696384991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33-44BF-BF8C-3B3D3E63493B}"/>
                </c:ext>
              </c:extLst>
            </c:dLbl>
            <c:dLbl>
              <c:idx val="5"/>
              <c:layout>
                <c:manualLayout>
                  <c:x val="5.8204350885618303E-2"/>
                  <c:y val="5.10658851349651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33-44BF-BF8C-3B3D3E6349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('CONSOLIDADO-ACUEDUCTOSRURALES2'!$D$126,'CONSOLIDADO-ACUEDUCTOSRURALES2'!$F$126,'CONSOLIDADO-ACUEDUCTOSRURALES2'!$H$126,'CONSOLIDADO-ACUEDUCTOSRURALES2'!$J$126,'CONSOLIDADO-ACUEDUCTOSRURALES2'!$L$126,'CONSOLIDADO-ACUEDUCTOSRURALES2'!$N$126)</c:f>
              <c:numCache>
                <c:formatCode>General</c:formatCode>
                <c:ptCount val="6"/>
                <c:pt idx="0">
                  <c:v>101</c:v>
                </c:pt>
                <c:pt idx="1">
                  <c:v>9</c:v>
                </c:pt>
                <c:pt idx="2">
                  <c:v>18</c:v>
                </c:pt>
                <c:pt idx="3">
                  <c:v>132</c:v>
                </c:pt>
                <c:pt idx="4">
                  <c:v>233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33-44BF-BF8C-3B3D3E634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275448320"/>
        <c:axId val="275298496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'CONSOLIDADO-ACUEDUCTOSRURALES2'!$C$102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EA33-44BF-BF8C-3B3D3E63493B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EA33-44BF-BF8C-3B3D3E63493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EA33-44BF-BF8C-3B3D3E6349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EA33-44BF-BF8C-3B3D3E63493B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EA33-44BF-BF8C-3B3D3E63493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EA33-44BF-BF8C-3B3D3E63493B}"/>
              </c:ext>
            </c:extLst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33-44BF-BF8C-3B3D3E63493B}"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33-44BF-BF8C-3B3D3E63493B}"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33-44BF-BF8C-3B3D3E63493B}"/>
                </c:ext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33-44BF-BF8C-3B3D3E63493B}"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A33-44BF-BF8C-3B3D3E63493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('CONSOLIDADO-ACUEDUCTOSRURALES2'!$E$126,'CONSOLIDADO-ACUEDUCTOSRURALES2'!$G$126,'CONSOLIDADO-ACUEDUCTOSRURALES2'!$I$126,'CONSOLIDADO-ACUEDUCTOSRURALES2'!$K$126,'CONSOLIDADO-ACUEDUCTOSRURALES2'!$M$126,'CONSOLIDADO-ACUEDUCTOSRURALES2'!$O$126)</c:f>
              <c:numCache>
                <c:formatCode>0.0</c:formatCode>
                <c:ptCount val="6"/>
                <c:pt idx="0">
                  <c:v>19.803921568627452</c:v>
                </c:pt>
                <c:pt idx="1">
                  <c:v>1.7647058823529411</c:v>
                </c:pt>
                <c:pt idx="2">
                  <c:v>3.5294117647058822</c:v>
                </c:pt>
                <c:pt idx="3">
                  <c:v>25.882352941176475</c:v>
                </c:pt>
                <c:pt idx="4">
                  <c:v>45.686274509803923</c:v>
                </c:pt>
                <c:pt idx="5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A33-44BF-BF8C-3B3D3E634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5559936"/>
        <c:axId val="275299648"/>
      </c:barChart>
      <c:catAx>
        <c:axId val="27544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298496"/>
        <c:crosses val="autoZero"/>
        <c:auto val="1"/>
        <c:lblAlgn val="ctr"/>
        <c:lblOffset val="100"/>
        <c:noMultiLvlLbl val="0"/>
      </c:catAx>
      <c:valAx>
        <c:axId val="275298496"/>
        <c:scaling>
          <c:orientation val="minMax"/>
          <c:max val="2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209317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448320"/>
        <c:crosses val="autoZero"/>
        <c:crossBetween val="between"/>
      </c:valAx>
      <c:catAx>
        <c:axId val="275559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5299648"/>
        <c:crosses val="autoZero"/>
        <c:auto val="1"/>
        <c:lblAlgn val="ctr"/>
        <c:lblOffset val="100"/>
        <c:noMultiLvlLbl val="0"/>
      </c:catAx>
      <c:valAx>
        <c:axId val="275299648"/>
        <c:scaling>
          <c:orientation val="minMax"/>
          <c:max val="6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466207349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559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13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Bajo Cauca - Antioquia- Colombia 2021</a:t>
            </a:r>
          </a:p>
        </c:rich>
      </c:tx>
      <c:layout>
        <c:manualLayout>
          <c:xMode val="edge"/>
          <c:yMode val="edge"/>
          <c:x val="0.17977430486163851"/>
          <c:y val="1.1976032065759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'CONSOLIDADO-ACUEDUCTOSRURALES2'!$B$131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2"/>
              <c:layout>
                <c:manualLayout>
                  <c:x val="1.6920473773265031E-3"/>
                  <c:y val="-2.547770700636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B1-4E1B-B50F-DF180F3711A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'CONSOLIDADO-ACUEDUCTOSRURALES2'!$A$132:$A$137</c:f>
              <c:strCache>
                <c:ptCount val="6"/>
                <c:pt idx="0">
                  <c:v>Caucasia</c:v>
                </c:pt>
                <c:pt idx="1">
                  <c:v>Cáceres</c:v>
                </c:pt>
                <c:pt idx="2">
                  <c:v>El Bagre</c:v>
                </c:pt>
                <c:pt idx="3">
                  <c:v>Nechi</c:v>
                </c:pt>
                <c:pt idx="4">
                  <c:v>Tarazá</c:v>
                </c:pt>
                <c:pt idx="5">
                  <c:v>Zaragoza</c:v>
                </c:pt>
              </c:strCache>
            </c:strRef>
          </c:cat>
          <c:val>
            <c:numRef>
              <c:f>'CONSOLIDADO-ACUEDUCTOSRURALES2'!$B$132:$B$137</c:f>
              <c:numCache>
                <c:formatCode>General</c:formatCode>
                <c:ptCount val="6"/>
                <c:pt idx="0">
                  <c:v>19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9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1-4E1B-B50F-DF180F37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overlap val="-78"/>
        <c:axId val="275450880"/>
        <c:axId val="275223040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'CONSOLIDADO-ACUEDUCTOSRURALES2'!$C$132:$C$137</c:f>
              <c:numCache>
                <c:formatCode>0.0</c:formatCode>
                <c:ptCount val="6"/>
                <c:pt idx="0">
                  <c:v>33.333333333333329</c:v>
                </c:pt>
                <c:pt idx="1">
                  <c:v>12.280701754385964</c:v>
                </c:pt>
                <c:pt idx="2">
                  <c:v>7.0175438596491224</c:v>
                </c:pt>
                <c:pt idx="3">
                  <c:v>5.2631578947368416</c:v>
                </c:pt>
                <c:pt idx="4">
                  <c:v>15.789473684210526</c:v>
                </c:pt>
                <c:pt idx="5">
                  <c:v>26.315789473684209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B1-4E1B-B50F-DF180F37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2"/>
        <c:axId val="275558912"/>
        <c:axId val="275223616"/>
      </c:barChart>
      <c:catAx>
        <c:axId val="2754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223040"/>
        <c:crossesAt val="0"/>
        <c:auto val="1"/>
        <c:lblAlgn val="ctr"/>
        <c:lblOffset val="100"/>
        <c:noMultiLvlLbl val="0"/>
      </c:catAx>
      <c:valAx>
        <c:axId val="27522304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61635028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450880"/>
        <c:crosses val="autoZero"/>
        <c:crossBetween val="between"/>
        <c:majorUnit val="5"/>
      </c:valAx>
      <c:catAx>
        <c:axId val="27555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223616"/>
        <c:crosses val="autoZero"/>
        <c:auto val="1"/>
        <c:lblAlgn val="ctr"/>
        <c:lblOffset val="100"/>
        <c:noMultiLvlLbl val="0"/>
      </c:catAx>
      <c:valAx>
        <c:axId val="275223616"/>
        <c:scaling>
          <c:orientation val="minMax"/>
          <c:max val="6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558912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187674221"/>
          <c:w val="0.4600726114819404"/>
          <c:h val="6.0105800728397329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14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 Bajo Cauca- Antioquia -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'CONSOLIDADO-ACUEDUCTOSRURALES2'!$B$131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8966539601863616E-2"/>
                  <c:y val="9.281351041882096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3A-43E5-9547-3378C2D8FF4D}"/>
                </c:ext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3A-43E5-9547-3378C2D8FF4D}"/>
                </c:ext>
              </c:extLst>
            </c:dLbl>
            <c:dLbl>
              <c:idx val="2"/>
              <c:layout>
                <c:manualLayout>
                  <c:x val="4.7437526471833968E-2"/>
                  <c:y val="3.8414738387586611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3A-43E5-9547-3378C2D8FF4D}"/>
                </c:ext>
              </c:extLst>
            </c:dLbl>
            <c:dLbl>
              <c:idx val="3"/>
              <c:layout>
                <c:manualLayout>
                  <c:x val="5.2519985192448146E-2"/>
                  <c:y val="2.55418745302577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3A-43E5-9547-3378C2D8FF4D}"/>
                </c:ext>
              </c:extLst>
            </c:dLbl>
            <c:dLbl>
              <c:idx val="4"/>
              <c:layout>
                <c:manualLayout>
                  <c:x val="0.32708588046570403"/>
                  <c:y val="5.6495180254934504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3A-43E5-9547-3378C2D8FF4D}"/>
                </c:ext>
              </c:extLst>
            </c:dLbl>
            <c:dLbl>
              <c:idx val="5"/>
              <c:layout>
                <c:manualLayout>
                  <c:x val="0.16405486798267122"/>
                  <c:y val="-2.57436430311677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3A-43E5-9547-3378C2D8F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('CONSOLIDADO-ACUEDUCTOSRURALES2'!$D$131,'CONSOLIDADO-ACUEDUCTOSRURALES2'!$F$131,'CONSOLIDADO-ACUEDUCTOSRURALES2'!$H$131,'CONSOLIDADO-ACUEDUCTOSRURALES2'!$J$131,'CONSOLIDADO-ACUEDUCTOSRURALES2'!$L$131,'CONSOLIDADO-ACUEDUCTOSRURALES2'!$N$131)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('CONSOLIDADO-ACUEDUCTOSRURALES2'!$D$138,'CONSOLIDADO-ACUEDUCTOSRURALES2'!$F$138,'CONSOLIDADO-ACUEDUCTOSRURALES2'!$H$138,'CONSOLIDADO-ACUEDUCTOSRURALES2'!$J$138,'CONSOLIDADO-ACUEDUCTOSRURALES2'!$L$138,'CONSOLIDADO-ACUEDUCTOSRURALES2'!$N$138)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35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3A-43E5-9547-3378C2D8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5802112"/>
        <c:axId val="275636224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'CONSOLIDADO-ACUEDUCTOSRURALES2'!$C$131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483A-43E5-9547-3378C2D8FF4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483A-43E5-9547-3378C2D8FF4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483A-43E5-9547-3378C2D8FF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483A-43E5-9547-3378C2D8FF4D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483A-43E5-9547-3378C2D8FF4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483A-43E5-9547-3378C2D8FF4D}"/>
              </c:ext>
            </c:extLst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3A-43E5-9547-3378C2D8FF4D}"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3A-43E5-9547-3378C2D8FF4D}"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83A-43E5-9547-3378C2D8FF4D}"/>
                </c:ext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3A-43E5-9547-3378C2D8FF4D}"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3A-43E5-9547-3378C2D8FF4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('CONSOLIDADO-ACUEDUCTOSRURALES2'!$E$138,'CONSOLIDADO-ACUEDUCTOSRURALES2'!$G$138,'CONSOLIDADO-ACUEDUCTOSRURALES2'!$I$138,'CONSOLIDADO-ACUEDUCTOSRURALES2'!$K$138,'CONSOLIDADO-ACUEDUCTOSRURALES2'!$M$138,'CONSOLIDADO-ACUEDUCTOSRURALES2'!$O$138)</c:f>
              <c:numCache>
                <c:formatCode>0.0</c:formatCode>
                <c:ptCount val="6"/>
                <c:pt idx="0">
                  <c:v>1.7543859649122806</c:v>
                </c:pt>
                <c:pt idx="1">
                  <c:v>1.7543859649122806</c:v>
                </c:pt>
                <c:pt idx="2">
                  <c:v>1.7543859649122806</c:v>
                </c:pt>
                <c:pt idx="3">
                  <c:v>8.7719298245614024</c:v>
                </c:pt>
                <c:pt idx="4">
                  <c:v>61.403508771929829</c:v>
                </c:pt>
                <c:pt idx="5">
                  <c:v>24.561403508771928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83A-43E5-9547-3378C2D8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5850240"/>
        <c:axId val="275636800"/>
      </c:barChart>
      <c:catAx>
        <c:axId val="27580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636224"/>
        <c:crosses val="autoZero"/>
        <c:auto val="1"/>
        <c:lblAlgn val="ctr"/>
        <c:lblOffset val="100"/>
        <c:noMultiLvlLbl val="0"/>
      </c:catAx>
      <c:valAx>
        <c:axId val="275636224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1493607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802112"/>
        <c:crosses val="autoZero"/>
        <c:crossBetween val="between"/>
      </c:valAx>
      <c:catAx>
        <c:axId val="275850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5636800"/>
        <c:crosses val="autoZero"/>
        <c:auto val="1"/>
        <c:lblAlgn val="ctr"/>
        <c:lblOffset val="100"/>
        <c:noMultiLvlLbl val="0"/>
      </c:catAx>
      <c:valAx>
        <c:axId val="275636800"/>
        <c:scaling>
          <c:orientation val="minMax"/>
          <c:max val="75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40953579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85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15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Magdalena Medio- Antioquia- Colombia 2021</a:t>
            </a:r>
          </a:p>
        </c:rich>
      </c:tx>
      <c:layout>
        <c:manualLayout>
          <c:xMode val="edge"/>
          <c:yMode val="edge"/>
          <c:x val="0.17977430486163851"/>
          <c:y val="1.19760466834849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'CONSOLIDADO-ACUEDUCTOSRURALES2'!$B$142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'CONSOLIDADO-ACUEDUCTOSRURALES2'!$A$143:$A$148</c:f>
              <c:strCache>
                <c:ptCount val="6"/>
                <c:pt idx="0">
                  <c:v>Caracolí</c:v>
                </c:pt>
                <c:pt idx="1">
                  <c:v>Maceo</c:v>
                </c:pt>
                <c:pt idx="2">
                  <c:v>Puerto Berrio</c:v>
                </c:pt>
                <c:pt idx="3">
                  <c:v>Puerto Nare</c:v>
                </c:pt>
                <c:pt idx="4">
                  <c:v>Puerto Triunfo</c:v>
                </c:pt>
                <c:pt idx="5">
                  <c:v>Yondo</c:v>
                </c:pt>
              </c:strCache>
            </c:strRef>
          </c:cat>
          <c:val>
            <c:numRef>
              <c:f>'CONSOLIDADO-ACUEDUCTOSRURALES2'!$B$143:$B$148</c:f>
              <c:numCache>
                <c:formatCode>General</c:formatCode>
                <c:ptCount val="6"/>
                <c:pt idx="0">
                  <c:v>9</c:v>
                </c:pt>
                <c:pt idx="1">
                  <c:v>6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D-4020-AF39-C514E335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78"/>
        <c:axId val="275851776"/>
        <c:axId val="275639680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'CONSOLIDADO-ACUEDUCTOSRURALES2'!$C$143:$C$148</c:f>
              <c:numCache>
                <c:formatCode>0.0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20</c:v>
                </c:pt>
                <c:pt idx="3">
                  <c:v>9.3333333333333339</c:v>
                </c:pt>
                <c:pt idx="4">
                  <c:v>14.666666666666666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D-4020-AF39-C514E335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2"/>
        <c:axId val="275803648"/>
        <c:axId val="275640256"/>
      </c:barChart>
      <c:catAx>
        <c:axId val="27585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639680"/>
        <c:crossesAt val="0"/>
        <c:auto val="1"/>
        <c:lblAlgn val="ctr"/>
        <c:lblOffset val="100"/>
        <c:noMultiLvlLbl val="0"/>
      </c:catAx>
      <c:valAx>
        <c:axId val="27563968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47017302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851776"/>
        <c:crosses val="autoZero"/>
        <c:crossBetween val="between"/>
        <c:majorUnit val="5"/>
      </c:valAx>
      <c:catAx>
        <c:axId val="27580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640256"/>
        <c:crosses val="autoZero"/>
        <c:auto val="1"/>
        <c:lblAlgn val="ctr"/>
        <c:lblOffset val="100"/>
        <c:noMultiLvlLbl val="0"/>
      </c:catAx>
      <c:valAx>
        <c:axId val="275640256"/>
        <c:scaling>
          <c:orientation val="minMax"/>
          <c:max val="5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803648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1431083251"/>
          <c:w val="0.4600726114819404"/>
          <c:h val="6.0105700379685545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16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psubregión  Magdalena Medio- Antioquia -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'CONSOLIDADO-ACUEDUCTOSRURALES2'!$B$142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8297318298999157"/>
                  <c:y val="5.14718897132087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45-4A0D-B8E5-745CF12703C9}"/>
                </c:ext>
              </c:extLst>
            </c:dLbl>
            <c:dLbl>
              <c:idx val="1"/>
              <c:layout>
                <c:manualLayout>
                  <c:x val="3.8966272799127552E-2"/>
                  <c:y val="-2.56580644182482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5-4A0D-B8E5-745CF12703C9}"/>
                </c:ext>
              </c:extLst>
            </c:dLbl>
            <c:dLbl>
              <c:idx val="2"/>
              <c:layout>
                <c:manualLayout>
                  <c:x val="3.3883680677145284E-2"/>
                  <c:y val="5.17975715463303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45-4A0D-B8E5-745CF12703C9}"/>
                </c:ext>
              </c:extLst>
            </c:dLbl>
            <c:dLbl>
              <c:idx val="3"/>
              <c:layout>
                <c:manualLayout>
                  <c:x val="0.31850910631088519"/>
                  <c:y val="5.12311683582914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45-4A0D-B8E5-745CF12703C9}"/>
                </c:ext>
              </c:extLst>
            </c:dLbl>
            <c:dLbl>
              <c:idx val="4"/>
              <c:layout>
                <c:manualLayout>
                  <c:x val="0.25084686523460298"/>
                  <c:y val="2.56964989202939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45-4A0D-B8E5-745CF12703C9}"/>
                </c:ext>
              </c:extLst>
            </c:dLbl>
            <c:dLbl>
              <c:idx val="5"/>
              <c:layout>
                <c:manualLayout>
                  <c:x val="0.27926015601289977"/>
                  <c:y val="5.118261951360125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45-4A0D-B8E5-745CF1270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('CONSOLIDADO-ACUEDUCTOSRURALES2'!$D$142,'CONSOLIDADO-ACUEDUCTOSRURALES2'!$F$142,'CONSOLIDADO-ACUEDUCTOSRURALES2'!$H$142,'CONSOLIDADO-ACUEDUCTOSRURALES2'!$J$142,'CONSOLIDADO-ACUEDUCTOSRURALES2'!$L$142,'CONSOLIDADO-ACUEDUCTOSRURALES2'!$N$142)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('CONSOLIDADO-ACUEDUCTOSRURALES2'!$D$149,'CONSOLIDADO-ACUEDUCTOSRURALES2'!$F$149,'CONSOLIDADO-ACUEDUCTOSRURALES2'!$H$149,'CONSOLIDADO-ACUEDUCTOSRURALES2'!$J$149,'CONSOLIDADO-ACUEDUCTOSRURALES2'!$L$149,'CONSOLIDADO-ACUEDUCTOSRURALES2'!$N$149)</c:f>
              <c:numCache>
                <c:formatCode>General</c:formatCode>
                <c:ptCount val="6"/>
                <c:pt idx="0">
                  <c:v>14</c:v>
                </c:pt>
                <c:pt idx="1">
                  <c:v>2</c:v>
                </c:pt>
                <c:pt idx="2">
                  <c:v>3</c:v>
                </c:pt>
                <c:pt idx="3">
                  <c:v>24</c:v>
                </c:pt>
                <c:pt idx="4">
                  <c:v>19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45-4A0D-B8E5-745CF1270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276240384"/>
        <c:axId val="275641984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'CONSOLIDADO-ACUEDUCTOSRURALES2'!$C$142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E545-4A0D-B8E5-745CF12703C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E545-4A0D-B8E5-745CF12703C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E545-4A0D-B8E5-745CF12703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E545-4A0D-B8E5-745CF12703C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E545-4A0D-B8E5-745CF12703C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E545-4A0D-B8E5-745CF12703C9}"/>
              </c:ext>
            </c:extLst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45-4A0D-B8E5-745CF12703C9}"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45-4A0D-B8E5-745CF12703C9}"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45-4A0D-B8E5-745CF12703C9}"/>
                </c:ext>
              </c:extLst>
            </c:dLbl>
            <c:dLbl>
              <c:idx val="4"/>
              <c:layout>
                <c:manualLayout>
                  <c:x val="4.1459811170363242E-3"/>
                  <c:y val="-3.3777300973625085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45-4A0D-B8E5-745CF12703C9}"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45-4A0D-B8E5-745CF12703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('CONSOLIDADO-ACUEDUCTOSRURALES2'!$E$149,'CONSOLIDADO-ACUEDUCTOSRURALES2'!$G$149,'CONSOLIDADO-ACUEDUCTOSRURALES2'!$I$149,'CONSOLIDADO-ACUEDUCTOSRURALES2'!$K$149,'CONSOLIDADO-ACUEDUCTOSRURALES2'!$M$149,'CONSOLIDADO-ACUEDUCTOSRURALES2'!$O$149)</c:f>
              <c:numCache>
                <c:formatCode>0.0</c:formatCode>
                <c:ptCount val="6"/>
                <c:pt idx="0">
                  <c:v>18.666666666666668</c:v>
                </c:pt>
                <c:pt idx="1">
                  <c:v>2.666666666666667</c:v>
                </c:pt>
                <c:pt idx="2">
                  <c:v>4</c:v>
                </c:pt>
                <c:pt idx="3">
                  <c:v>32</c:v>
                </c:pt>
                <c:pt idx="4">
                  <c:v>25.333333333333336</c:v>
                </c:pt>
                <c:pt idx="5">
                  <c:v>17.333333333333336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545-4A0D-B8E5-745CF1270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6272128"/>
        <c:axId val="275642560"/>
      </c:barChart>
      <c:catAx>
        <c:axId val="27624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641984"/>
        <c:crosses val="autoZero"/>
        <c:auto val="1"/>
        <c:lblAlgn val="ctr"/>
        <c:lblOffset val="100"/>
        <c:noMultiLvlLbl val="0"/>
      </c:catAx>
      <c:valAx>
        <c:axId val="275641984"/>
        <c:scaling>
          <c:orientation val="minMax"/>
          <c:max val="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1493607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240384"/>
        <c:crosses val="autoZero"/>
        <c:crossBetween val="between"/>
      </c:valAx>
      <c:catAx>
        <c:axId val="276272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5642560"/>
        <c:crosses val="autoZero"/>
        <c:auto val="1"/>
        <c:lblAlgn val="ctr"/>
        <c:lblOffset val="100"/>
        <c:noMultiLvlLbl val="0"/>
      </c:catAx>
      <c:valAx>
        <c:axId val="275642560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40953579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272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17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Nordeste Antioquia- Colombia 2021</a:t>
            </a:r>
          </a:p>
        </c:rich>
      </c:tx>
      <c:layout>
        <c:manualLayout>
          <c:xMode val="edge"/>
          <c:yMode val="edge"/>
          <c:x val="0.17977430486163851"/>
          <c:y val="1.1976032065759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'CONSOLIDADO-ACUEDUCTOSRURALES2'!$B$154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'CONSOLIDADO-ACUEDUCTOSRURALES2'!$A$155:$A$164</c:f>
              <c:strCache>
                <c:ptCount val="10"/>
                <c:pt idx="0">
                  <c:v>Amalfi</c:v>
                </c:pt>
                <c:pt idx="1">
                  <c:v>Anori</c:v>
                </c:pt>
                <c:pt idx="2">
                  <c:v>Cisneros</c:v>
                </c:pt>
                <c:pt idx="3">
                  <c:v>Remedios</c:v>
                </c:pt>
                <c:pt idx="4">
                  <c:v>San Roque</c:v>
                </c:pt>
                <c:pt idx="5">
                  <c:v>Santo Domingo</c:v>
                </c:pt>
                <c:pt idx="6">
                  <c:v>Segovia</c:v>
                </c:pt>
                <c:pt idx="7">
                  <c:v>Vegachi</c:v>
                </c:pt>
                <c:pt idx="8">
                  <c:v>Yali</c:v>
                </c:pt>
                <c:pt idx="9">
                  <c:v>Yolombo</c:v>
                </c:pt>
              </c:strCache>
            </c:strRef>
          </c:cat>
          <c:val>
            <c:numRef>
              <c:f>'CONSOLIDADO-ACUEDUCTOSRURALES2'!$B$155:$B$164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34</c:v>
                </c:pt>
                <c:pt idx="5">
                  <c:v>18</c:v>
                </c:pt>
                <c:pt idx="6">
                  <c:v>12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1-4775-BC0C-06FDC07F0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overlap val="-65"/>
        <c:axId val="276274176"/>
        <c:axId val="276326080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'CONSOLIDADO-ACUEDUCTOSRURALES2'!$C$155:$C$164</c:f>
              <c:numCache>
                <c:formatCode>0.0</c:formatCode>
                <c:ptCount val="10"/>
                <c:pt idx="0">
                  <c:v>5.2173913043478262</c:v>
                </c:pt>
                <c:pt idx="1">
                  <c:v>2.6086956521739131</c:v>
                </c:pt>
                <c:pt idx="2">
                  <c:v>2.6086956521739131</c:v>
                </c:pt>
                <c:pt idx="3">
                  <c:v>6.0869565217391308</c:v>
                </c:pt>
                <c:pt idx="4">
                  <c:v>29.565217391304348</c:v>
                </c:pt>
                <c:pt idx="5">
                  <c:v>15.65217391304348</c:v>
                </c:pt>
                <c:pt idx="6">
                  <c:v>10.434782608695652</c:v>
                </c:pt>
                <c:pt idx="7">
                  <c:v>6.0869565217391308</c:v>
                </c:pt>
                <c:pt idx="8">
                  <c:v>8.695652173913043</c:v>
                </c:pt>
                <c:pt idx="9">
                  <c:v>13.043478260869565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1-4775-BC0C-06FDC07F0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276240896"/>
        <c:axId val="276326656"/>
      </c:barChart>
      <c:catAx>
        <c:axId val="2762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326080"/>
        <c:crossesAt val="0"/>
        <c:auto val="1"/>
        <c:lblAlgn val="ctr"/>
        <c:lblOffset val="100"/>
        <c:noMultiLvlLbl val="0"/>
      </c:catAx>
      <c:valAx>
        <c:axId val="27632608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61635028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274176"/>
        <c:crosses val="autoZero"/>
        <c:crossBetween val="between"/>
        <c:majorUnit val="5"/>
      </c:valAx>
      <c:catAx>
        <c:axId val="27624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326656"/>
        <c:crosses val="autoZero"/>
        <c:auto val="1"/>
        <c:lblAlgn val="ctr"/>
        <c:lblOffset val="100"/>
        <c:noMultiLvlLbl val="0"/>
      </c:catAx>
      <c:valAx>
        <c:axId val="276326656"/>
        <c:scaling>
          <c:orientation val="minMax"/>
          <c:max val="5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240896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187674221"/>
          <c:w val="0.4600726114819404"/>
          <c:h val="6.0105800728397329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Gráfico  18</a:t>
            </a:r>
            <a:r>
              <a:rPr lang="es-CO" sz="12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 Numero y porcentaje de acueductos rurales por  nivel de riesgo sanitario psubregión  Nordeste - Antioquia - Colombia  2021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171961033460398"/>
          <c:y val="2.0578778135048232E-2"/>
        </c:manualLayout>
      </c:layout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9997798877427489"/>
          <c:y val="0.20548497354229434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'CONSOLIDADO-ACUEDUCTOSRURALES2'!$B$154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1321340550347343E-2"/>
                  <c:y val="9.1146162999721506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33-4E6F-9C7C-F1BDF42749B0}"/>
                </c:ext>
              </c:extLst>
            </c:dLbl>
            <c:dLbl>
              <c:idx val="1"/>
              <c:layout>
                <c:manualLayout>
                  <c:x val="3.7272075425133513E-2"/>
                  <c:y val="3.23866971641398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33-4E6F-9C7C-F1BDF42749B0}"/>
                </c:ext>
              </c:extLst>
            </c:dLbl>
            <c:dLbl>
              <c:idx val="2"/>
              <c:layout>
                <c:manualLayout>
                  <c:x val="3.3883814078513375E-2"/>
                  <c:y val="7.75552573613185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33-4E6F-9C7C-F1BDF42749B0}"/>
                </c:ext>
              </c:extLst>
            </c:dLbl>
            <c:dLbl>
              <c:idx val="3"/>
              <c:layout>
                <c:manualLayout>
                  <c:x val="3.8966272799127524E-2"/>
                  <c:y val="2.55573841051209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33-4E6F-9C7C-F1BDF42749B0}"/>
                </c:ext>
              </c:extLst>
            </c:dLbl>
            <c:dLbl>
              <c:idx val="4"/>
              <c:layout>
                <c:manualLayout>
                  <c:x val="0.36774661744156184"/>
                  <c:y val="7.710762842747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33-4E6F-9C7C-F1BDF42749B0}"/>
                </c:ext>
              </c:extLst>
            </c:dLbl>
            <c:dLbl>
              <c:idx val="5"/>
              <c:layout>
                <c:manualLayout>
                  <c:x val="6.9179815039003223E-2"/>
                  <c:y val="2.55249765804997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33-4E6F-9C7C-F1BDF42749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('CONSOLIDADO-ACUEDUCTOSRURALES2'!$D$154,'CONSOLIDADO-ACUEDUCTOSRURALES2'!$F$154,'CONSOLIDADO-ACUEDUCTOSRURALES2'!$H$154,'CONSOLIDADO-ACUEDUCTOSRURALES2'!$J$154,'CONSOLIDADO-ACUEDUCTOSRURALES2'!$L$154,'CONSOLIDADO-ACUEDUCTOSRURALES2'!$N$154)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('CONSOLIDADO-ACUEDUCTOSRURALES2'!$D$165,'CONSOLIDADO-ACUEDUCTOSRURALES2'!$F$165,'CONSOLIDADO-ACUEDUCTOSRURALES2'!$H$165,'CONSOLIDADO-ACUEDUCTOSRURALES2'!$J$165,'CONSOLIDADO-ACUEDUCTOSRURALES2'!$L$165,'CONSOLIDADO-ACUEDUCTOSRURALES2'!$N$165)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84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33-4E6F-9C7C-F1BDF4274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276591616"/>
        <c:axId val="276328384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'CONSOLIDADO-ACUEDUCTOSRURALES2'!$C$154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4A33-4E6F-9C7C-F1BDF42749B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4A33-4E6F-9C7C-F1BDF42749B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4A33-4E6F-9C7C-F1BDF42749B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4A33-4E6F-9C7C-F1BDF42749B0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4A33-4E6F-9C7C-F1BDF42749B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4A33-4E6F-9C7C-F1BDF42749B0}"/>
              </c:ext>
            </c:extLst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33-4E6F-9C7C-F1BDF42749B0}"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33-4E6F-9C7C-F1BDF42749B0}"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33-4E6F-9C7C-F1BDF42749B0}"/>
                </c:ext>
              </c:extLst>
            </c:dLbl>
            <c:dLbl>
              <c:idx val="4"/>
              <c:layout>
                <c:manualLayout>
                  <c:x val="4.1459811170363242E-3"/>
                  <c:y val="-3.3777300973625085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33-4E6F-9C7C-F1BDF42749B0}"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33-4E6F-9C7C-F1BDF42749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('CONSOLIDADO-ACUEDUCTOSRURALES2'!$E$165,'CONSOLIDADO-ACUEDUCTOSRURALES2'!$G$165,'CONSOLIDADO-ACUEDUCTOSRURALES2'!$I$165,'CONSOLIDADO-ACUEDUCTOSRURALES2'!$K$165,'CONSOLIDADO-ACUEDUCTOSRURALES2'!$M$165,'CONSOLIDADO-ACUEDUCTOSRURALES2'!$O$165)</c:f>
              <c:numCache>
                <c:formatCode>0.0</c:formatCode>
                <c:ptCount val="6"/>
                <c:pt idx="0">
                  <c:v>13.913043478260869</c:v>
                </c:pt>
                <c:pt idx="1">
                  <c:v>0</c:v>
                </c:pt>
                <c:pt idx="2">
                  <c:v>0.86956521739130432</c:v>
                </c:pt>
                <c:pt idx="3">
                  <c:v>3.4782608695652173</c:v>
                </c:pt>
                <c:pt idx="4">
                  <c:v>73.043478260869563</c:v>
                </c:pt>
                <c:pt idx="5">
                  <c:v>8.695652173913043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33-4E6F-9C7C-F1BDF4274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6832256"/>
        <c:axId val="276328960"/>
      </c:barChart>
      <c:catAx>
        <c:axId val="27659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328384"/>
        <c:crosses val="autoZero"/>
        <c:auto val="1"/>
        <c:lblAlgn val="ctr"/>
        <c:lblOffset val="100"/>
        <c:noMultiLvlLbl val="0"/>
      </c:catAx>
      <c:valAx>
        <c:axId val="276328384"/>
        <c:scaling>
          <c:orientation val="minMax"/>
          <c:max val="8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209317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591616"/>
        <c:crosses val="autoZero"/>
        <c:crossBetween val="between"/>
      </c:valAx>
      <c:catAx>
        <c:axId val="276832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6328960"/>
        <c:crosses val="autoZero"/>
        <c:auto val="1"/>
        <c:lblAlgn val="ctr"/>
        <c:lblOffset val="100"/>
        <c:noMultiLvlLbl val="0"/>
      </c:catAx>
      <c:valAx>
        <c:axId val="27632896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466207349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832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19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Oriente   Antioquia- Colombia 2021</a:t>
            </a:r>
          </a:p>
        </c:rich>
      </c:tx>
      <c:layout>
        <c:manualLayout>
          <c:xMode val="edge"/>
          <c:yMode val="edge"/>
          <c:x val="0.17977430486163851"/>
          <c:y val="1.19760908792650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480088466099"/>
          <c:y val="0.10723879515060618"/>
          <c:w val="0.73332374062379257"/>
          <c:h val="0.63053478315210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'CONSOLIDADO-ACUEDUCTOSRURALES2'!$B$170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'CONSOLIDADO-ACUEDUCTOSRURALES2'!$A$171:$A$193</c:f>
              <c:strCache>
                <c:ptCount val="23"/>
                <c:pt idx="0">
                  <c:v>Abejorral</c:v>
                </c:pt>
                <c:pt idx="1">
                  <c:v>Alejandría</c:v>
                </c:pt>
                <c:pt idx="2">
                  <c:v>Argelia</c:v>
                </c:pt>
                <c:pt idx="3">
                  <c:v>Cocorná</c:v>
                </c:pt>
                <c:pt idx="4">
                  <c:v>Concepción</c:v>
                </c:pt>
                <c:pt idx="5">
                  <c:v>El Carmen de Viboral</c:v>
                </c:pt>
                <c:pt idx="6">
                  <c:v>El Peñol</c:v>
                </c:pt>
                <c:pt idx="7">
                  <c:v>El Retiro</c:v>
                </c:pt>
                <c:pt idx="8">
                  <c:v>El Santuario</c:v>
                </c:pt>
                <c:pt idx="9">
                  <c:v>Granada</c:v>
                </c:pt>
                <c:pt idx="10">
                  <c:v>Guarne</c:v>
                </c:pt>
                <c:pt idx="11">
                  <c:v>Guatapé</c:v>
                </c:pt>
                <c:pt idx="12">
                  <c:v>La Ceja</c:v>
                </c:pt>
                <c:pt idx="13">
                  <c:v>La Unión</c:v>
                </c:pt>
                <c:pt idx="14">
                  <c:v>Marinilla</c:v>
                </c:pt>
                <c:pt idx="15">
                  <c:v>Nariño</c:v>
                </c:pt>
                <c:pt idx="16">
                  <c:v>Rionegro</c:v>
                </c:pt>
                <c:pt idx="17">
                  <c:v>San Carlos</c:v>
                </c:pt>
                <c:pt idx="18">
                  <c:v>San Francisco</c:v>
                </c:pt>
                <c:pt idx="19">
                  <c:v>San Luis</c:v>
                </c:pt>
                <c:pt idx="20">
                  <c:v>San Rafael</c:v>
                </c:pt>
                <c:pt idx="21">
                  <c:v>San Vicente</c:v>
                </c:pt>
                <c:pt idx="22">
                  <c:v>Sonsón</c:v>
                </c:pt>
              </c:strCache>
            </c:strRef>
          </c:cat>
          <c:val>
            <c:numRef>
              <c:f>'CONSOLIDADO-ACUEDUCTOSRURALES2'!$B$171:$B$193</c:f>
              <c:numCache>
                <c:formatCode>General</c:formatCode>
                <c:ptCount val="23"/>
                <c:pt idx="0">
                  <c:v>48</c:v>
                </c:pt>
                <c:pt idx="1">
                  <c:v>10</c:v>
                </c:pt>
                <c:pt idx="2">
                  <c:v>20</c:v>
                </c:pt>
                <c:pt idx="3">
                  <c:v>23</c:v>
                </c:pt>
                <c:pt idx="4">
                  <c:v>5</c:v>
                </c:pt>
                <c:pt idx="5">
                  <c:v>36</c:v>
                </c:pt>
                <c:pt idx="6">
                  <c:v>28</c:v>
                </c:pt>
                <c:pt idx="7">
                  <c:v>22</c:v>
                </c:pt>
                <c:pt idx="8">
                  <c:v>37</c:v>
                </c:pt>
                <c:pt idx="9">
                  <c:v>29</c:v>
                </c:pt>
                <c:pt idx="10">
                  <c:v>59</c:v>
                </c:pt>
                <c:pt idx="11">
                  <c:v>6</c:v>
                </c:pt>
                <c:pt idx="12">
                  <c:v>16</c:v>
                </c:pt>
                <c:pt idx="13">
                  <c:v>18</c:v>
                </c:pt>
                <c:pt idx="14">
                  <c:v>38</c:v>
                </c:pt>
                <c:pt idx="15">
                  <c:v>11</c:v>
                </c:pt>
                <c:pt idx="16">
                  <c:v>24</c:v>
                </c:pt>
                <c:pt idx="17">
                  <c:v>15</c:v>
                </c:pt>
                <c:pt idx="18">
                  <c:v>7</c:v>
                </c:pt>
                <c:pt idx="19">
                  <c:v>9</c:v>
                </c:pt>
                <c:pt idx="20">
                  <c:v>17</c:v>
                </c:pt>
                <c:pt idx="21">
                  <c:v>46</c:v>
                </c:pt>
                <c:pt idx="2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0-4237-8439-17105CE6C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-78"/>
        <c:axId val="276833280"/>
        <c:axId val="276791296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0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'CONSOLIDADO-ACUEDUCTOSRURALES2'!$C$171:$C$193</c:f>
              <c:numCache>
                <c:formatCode>0.0</c:formatCode>
                <c:ptCount val="23"/>
                <c:pt idx="0">
                  <c:v>8.7591240875912408</c:v>
                </c:pt>
                <c:pt idx="1">
                  <c:v>1.824817518248175</c:v>
                </c:pt>
                <c:pt idx="2">
                  <c:v>3.6496350364963499</c:v>
                </c:pt>
                <c:pt idx="3">
                  <c:v>4.1970802919708028</c:v>
                </c:pt>
                <c:pt idx="4">
                  <c:v>0.91240875912408748</c:v>
                </c:pt>
                <c:pt idx="5">
                  <c:v>6.5693430656934311</c:v>
                </c:pt>
                <c:pt idx="6">
                  <c:v>5.1094890510948909</c:v>
                </c:pt>
                <c:pt idx="7">
                  <c:v>4.0145985401459852</c:v>
                </c:pt>
                <c:pt idx="8">
                  <c:v>6.7518248175182478</c:v>
                </c:pt>
                <c:pt idx="9">
                  <c:v>5.2919708029197077</c:v>
                </c:pt>
                <c:pt idx="10">
                  <c:v>10.766423357664232</c:v>
                </c:pt>
                <c:pt idx="11">
                  <c:v>1.0948905109489051</c:v>
                </c:pt>
                <c:pt idx="12">
                  <c:v>2.9197080291970803</c:v>
                </c:pt>
                <c:pt idx="13">
                  <c:v>3.2846715328467155</c:v>
                </c:pt>
                <c:pt idx="14">
                  <c:v>6.9343065693430654</c:v>
                </c:pt>
                <c:pt idx="15">
                  <c:v>2.0072992700729926</c:v>
                </c:pt>
                <c:pt idx="16">
                  <c:v>4.3795620437956204</c:v>
                </c:pt>
                <c:pt idx="17">
                  <c:v>2.7372262773722631</c:v>
                </c:pt>
                <c:pt idx="18">
                  <c:v>1.2773722627737227</c:v>
                </c:pt>
                <c:pt idx="19">
                  <c:v>1.6423357664233578</c:v>
                </c:pt>
                <c:pt idx="20">
                  <c:v>3.1021897810218979</c:v>
                </c:pt>
                <c:pt idx="21">
                  <c:v>8.3941605839416056</c:v>
                </c:pt>
                <c:pt idx="22">
                  <c:v>4.3795620437956204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0-4237-8439-17105CE6C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276834304"/>
        <c:axId val="276791872"/>
      </c:barChart>
      <c:catAx>
        <c:axId val="2768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791296"/>
        <c:crossesAt val="0"/>
        <c:auto val="1"/>
        <c:lblAlgn val="ctr"/>
        <c:lblOffset val="100"/>
        <c:noMultiLvlLbl val="0"/>
      </c:catAx>
      <c:valAx>
        <c:axId val="276791296"/>
        <c:scaling>
          <c:orientation val="minMax"/>
          <c:max val="8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layout>
            <c:manualLayout>
              <c:xMode val="edge"/>
              <c:yMode val="edge"/>
              <c:x val="1.8067735187923845E-2"/>
              <c:y val="0.224874302821522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833280"/>
        <c:crosses val="autoZero"/>
        <c:crossBetween val="between"/>
        <c:majorUnit val="20"/>
      </c:valAx>
      <c:catAx>
        <c:axId val="27683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791872"/>
        <c:crosses val="autoZero"/>
        <c:auto val="1"/>
        <c:lblAlgn val="ctr"/>
        <c:lblOffset val="100"/>
        <c:noMultiLvlLbl val="0"/>
      </c:catAx>
      <c:valAx>
        <c:axId val="276791872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6834304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5459317579"/>
          <c:w val="0.4600726114819404"/>
          <c:h val="6.0105807086614171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por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Antioquia - Colombia 2021</a:t>
            </a:r>
          </a:p>
        </c:rich>
      </c:tx>
      <c:layout>
        <c:manualLayout>
          <c:xMode val="edge"/>
          <c:yMode val="edge"/>
          <c:x val="0.17977430486163851"/>
          <c:y val="1.1976002999625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'CONSOLIDADO-ACUEDUCTOSRURALES2'!$B$7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'CONSOLIDADO-ACUEDUCTOSRURALES2'!$B$8:$B$16</c:f>
              <c:numCache>
                <c:formatCode>General</c:formatCode>
                <c:ptCount val="9"/>
                <c:pt idx="0">
                  <c:v>200</c:v>
                </c:pt>
                <c:pt idx="1">
                  <c:v>109</c:v>
                </c:pt>
                <c:pt idx="2">
                  <c:v>254</c:v>
                </c:pt>
                <c:pt idx="3">
                  <c:v>493</c:v>
                </c:pt>
                <c:pt idx="4">
                  <c:v>510</c:v>
                </c:pt>
                <c:pt idx="5">
                  <c:v>57</c:v>
                </c:pt>
                <c:pt idx="6">
                  <c:v>75</c:v>
                </c:pt>
                <c:pt idx="7">
                  <c:v>115</c:v>
                </c:pt>
                <c:pt idx="8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B-46F8-A1C8-7F4CE577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-78"/>
        <c:axId val="273785344"/>
        <c:axId val="269825088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'CONSOLIDADO-ACUEDUCTOSRURALES2'!$C$7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19050">
              <a:prstDash val="sysDash"/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'CONSOLIDADO-ACUEDUCTOSRURALES2'!$A$8:$A$16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'CONSOLIDADO-ACUEDUCTOSRURALES2'!$C$8:$C$16</c:f>
              <c:numCache>
                <c:formatCode>0.0</c:formatCode>
                <c:ptCount val="9"/>
                <c:pt idx="0">
                  <c:v>8.4709868699703517</c:v>
                </c:pt>
                <c:pt idx="1">
                  <c:v>4.6166878441338417</c:v>
                </c:pt>
                <c:pt idx="2">
                  <c:v>10.758153324862347</c:v>
                </c:pt>
                <c:pt idx="3">
                  <c:v>20.880982634476915</c:v>
                </c:pt>
                <c:pt idx="4">
                  <c:v>21.601016518424395</c:v>
                </c:pt>
                <c:pt idx="5">
                  <c:v>2.4142312579415499</c:v>
                </c:pt>
                <c:pt idx="6">
                  <c:v>3.1766200762388821</c:v>
                </c:pt>
                <c:pt idx="7">
                  <c:v>4.870817450232952</c:v>
                </c:pt>
                <c:pt idx="8">
                  <c:v>23.210504023718766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B-46F8-A1C8-7F4CE577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axId val="273786880"/>
        <c:axId val="269825664"/>
      </c:barChart>
      <c:catAx>
        <c:axId val="2737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69825088"/>
        <c:crossesAt val="0"/>
        <c:auto val="1"/>
        <c:lblAlgn val="ctr"/>
        <c:lblOffset val="100"/>
        <c:noMultiLvlLbl val="0"/>
      </c:catAx>
      <c:valAx>
        <c:axId val="269825088"/>
        <c:scaling>
          <c:orientation val="minMax"/>
          <c:max val="600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3785344"/>
        <c:crosses val="autoZero"/>
        <c:crossBetween val="between"/>
        <c:majorUnit val="80"/>
      </c:valAx>
      <c:catAx>
        <c:axId val="27378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9825664"/>
        <c:crosses val="autoZero"/>
        <c:auto val="1"/>
        <c:lblAlgn val="ctr"/>
        <c:lblOffset val="100"/>
        <c:noMultiLvlLbl val="0"/>
      </c:catAx>
      <c:valAx>
        <c:axId val="269825664"/>
        <c:scaling>
          <c:orientation val="minMax"/>
          <c:max val="4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3786880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39026700607"/>
          <c:w val="0.4600726114819404"/>
          <c:h val="6.0105973595405815E-2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20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 Oriente - Antioquia -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'CONSOLIDADO-ACUEDUCTOSRURALES2'!$B$170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3490046590427785"/>
                  <c:y val="5.15074629124274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B5-437F-9035-6060AEF10B01}"/>
                </c:ext>
              </c:extLst>
            </c:dLbl>
            <c:dLbl>
              <c:idx val="1"/>
              <c:layout>
                <c:manualLayout>
                  <c:x val="9.6568983514925946E-2"/>
                  <c:y val="3.228296014567685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B5-437F-9035-6060AEF10B01}"/>
                </c:ext>
              </c:extLst>
            </c:dLbl>
            <c:dLbl>
              <c:idx val="2"/>
              <c:layout>
                <c:manualLayout>
                  <c:x val="8.9792460821685724E-2"/>
                  <c:y val="3.8537783673901746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B5-437F-9035-6060AEF10B01}"/>
                </c:ext>
              </c:extLst>
            </c:dLbl>
            <c:dLbl>
              <c:idx val="3"/>
              <c:layout>
                <c:manualLayout>
                  <c:x val="0.15078316608136816"/>
                  <c:y val="-1.6598182296621662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B5-437F-9035-6060AEF10B01}"/>
                </c:ext>
              </c:extLst>
            </c:dLbl>
            <c:dLbl>
              <c:idx val="4"/>
              <c:layout>
                <c:manualLayout>
                  <c:x val="0.29828425830506877"/>
                  <c:y val="5.1305694411516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B5-437F-9035-6060AEF10B01}"/>
                </c:ext>
              </c:extLst>
            </c:dLbl>
            <c:dLbl>
              <c:idx val="5"/>
              <c:layout>
                <c:manualLayout>
                  <c:x val="0.11153448258611892"/>
                  <c:y val="-1.9773313089227076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B5-437F-9035-6060AEF10B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('CONSOLIDADO-ACUEDUCTOSRURALES2'!$D$170,'CONSOLIDADO-ACUEDUCTOSRURALES2'!$F$170,'CONSOLIDADO-ACUEDUCTOSRURALES2'!$H$170,'CONSOLIDADO-ACUEDUCTOSRURALES2'!$J$170,'CONSOLIDADO-ACUEDUCTOSRURALES2'!$L$170,'CONSOLIDADO-ACUEDUCTOSRURALES2'!$N$170)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('CONSOLIDADO-ACUEDUCTOSRURALES2'!$D$194,'CONSOLIDADO-ACUEDUCTOSRURALES2'!$F$194,'CONSOLIDADO-ACUEDUCTOSRURALES2'!$H$194,'CONSOLIDADO-ACUEDUCTOSRURALES2'!$J$194,'CONSOLIDADO-ACUEDUCTOSRURALES2'!$L$194,'CONSOLIDADO-ACUEDUCTOSRURALES2'!$N$194)</c:f>
              <c:numCache>
                <c:formatCode>General</c:formatCode>
                <c:ptCount val="6"/>
                <c:pt idx="0">
                  <c:v>187</c:v>
                </c:pt>
                <c:pt idx="1">
                  <c:v>37</c:v>
                </c:pt>
                <c:pt idx="2">
                  <c:v>36</c:v>
                </c:pt>
                <c:pt idx="3">
                  <c:v>83</c:v>
                </c:pt>
                <c:pt idx="4">
                  <c:v>155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B5-437F-9035-6060AEF10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7006848"/>
        <c:axId val="276792448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'CONSOLIDADO-ACUEDUCTOSRURALES2'!$C$170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80B5-437F-9035-6060AEF10B01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80B5-437F-9035-6060AEF10B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80B5-437F-9035-6060AEF10B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80B5-437F-9035-6060AEF10B01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80B5-437F-9035-6060AEF10B0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80B5-437F-9035-6060AEF10B01}"/>
              </c:ext>
            </c:extLst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B5-437F-9035-6060AEF10B01}"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B5-437F-9035-6060AEF10B01}"/>
                </c:ext>
              </c:extLst>
            </c:dLbl>
            <c:dLbl>
              <c:idx val="3"/>
              <c:layout>
                <c:manualLayout>
                  <c:x val="-5.8641240365919951E-2"/>
                  <c:y val="-3.4937926613793935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B5-437F-9035-6060AEF10B01}"/>
                </c:ext>
              </c:extLst>
            </c:dLbl>
            <c:dLbl>
              <c:idx val="4"/>
              <c:layout>
                <c:manualLayout>
                  <c:x val="4.1459811170363242E-3"/>
                  <c:y val="-3.3777300973625085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B5-437F-9035-6060AEF10B01}"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B5-437F-9035-6060AEF10B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('CONSOLIDADO-ACUEDUCTOSRURALES2'!$D$102,'CONSOLIDADO-ACUEDUCTOSRURALES2'!$F$102,'CONSOLIDADO-ACUEDUCTOSRURALES2'!$H$102,'CONSOLIDADO-ACUEDUCTOSRURALES2'!$J$102,'CONSOLIDADO-ACUEDUCTOSRURALES2'!$L$102,'CONSOLIDADO-ACUEDUCTOSRURALES2'!$N$102)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('CONSOLIDADO-ACUEDUCTOSRURALES2'!$E$194,'CONSOLIDADO-ACUEDUCTOSRURALES2'!$G$194,'CONSOLIDADO-ACUEDUCTOSRURALES2'!$I$194,'CONSOLIDADO-ACUEDUCTOSRURALES2'!$K$194,'CONSOLIDADO-ACUEDUCTOSRURALES2'!$M$194,'CONSOLIDADO-ACUEDUCTOSRURALES2'!$O$194)</c:f>
              <c:numCache>
                <c:formatCode>0.0</c:formatCode>
                <c:ptCount val="6"/>
                <c:pt idx="0">
                  <c:v>34.124087591240873</c:v>
                </c:pt>
                <c:pt idx="1">
                  <c:v>6.7518248175182478</c:v>
                </c:pt>
                <c:pt idx="2">
                  <c:v>6.5693430656934311</c:v>
                </c:pt>
                <c:pt idx="3">
                  <c:v>15.145985401459855</c:v>
                </c:pt>
                <c:pt idx="4">
                  <c:v>28.284671532846716</c:v>
                </c:pt>
                <c:pt idx="5">
                  <c:v>9.1240875912408761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0B5-437F-9035-6060AEF10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7169664"/>
        <c:axId val="276793024"/>
      </c:barChart>
      <c:catAx>
        <c:axId val="27700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792448"/>
        <c:crosses val="autoZero"/>
        <c:auto val="1"/>
        <c:lblAlgn val="ctr"/>
        <c:lblOffset val="100"/>
        <c:noMultiLvlLbl val="0"/>
      </c:catAx>
      <c:valAx>
        <c:axId val="276792448"/>
        <c:scaling>
          <c:orientation val="minMax"/>
          <c:max val="2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3906017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7006848"/>
        <c:crosses val="autoZero"/>
        <c:crossBetween val="between"/>
      </c:valAx>
      <c:catAx>
        <c:axId val="277169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6793024"/>
        <c:crosses val="autoZero"/>
        <c:auto val="1"/>
        <c:lblAlgn val="ctr"/>
        <c:lblOffset val="100"/>
        <c:noMultiLvlLbl val="0"/>
      </c:catAx>
      <c:valAx>
        <c:axId val="276793024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65272857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7169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3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Valle de Aburra - Antiquia -Colombia 2021</a:t>
            </a:r>
          </a:p>
        </c:rich>
      </c:tx>
      <c:layout>
        <c:manualLayout>
          <c:xMode val="edge"/>
          <c:yMode val="edge"/>
          <c:x val="0.18485044699361819"/>
          <c:y val="1.19760175045817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020621368015899"/>
          <c:w val="0.71471119175642162"/>
          <c:h val="0.67405016226006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'CONSOLIDADO-ACUEDUCTOSRURALES2'!$B$23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'CONSOLIDADO-ACUEDUCTOSRURALES2'!$A$24:$A$33</c:f>
              <c:strCache>
                <c:ptCount val="10"/>
                <c:pt idx="0">
                  <c:v>Medellín</c:v>
                </c:pt>
                <c:pt idx="1">
                  <c:v>Barbosa</c:v>
                </c:pt>
                <c:pt idx="2">
                  <c:v>Bello</c:v>
                </c:pt>
                <c:pt idx="3">
                  <c:v>Caldas</c:v>
                </c:pt>
                <c:pt idx="4">
                  <c:v>Copacabana</c:v>
                </c:pt>
                <c:pt idx="5">
                  <c:v>Girardota</c:v>
                </c:pt>
                <c:pt idx="6">
                  <c:v>Itagui</c:v>
                </c:pt>
                <c:pt idx="7">
                  <c:v>Envigado</c:v>
                </c:pt>
                <c:pt idx="8">
                  <c:v>Sabaneta</c:v>
                </c:pt>
                <c:pt idx="9">
                  <c:v>La Estrella</c:v>
                </c:pt>
              </c:strCache>
            </c:strRef>
          </c:cat>
          <c:val>
            <c:numRef>
              <c:f>'CONSOLIDADO-ACUEDUCTOSRURALES2'!$B$24:$B$33</c:f>
              <c:numCache>
                <c:formatCode>General</c:formatCode>
                <c:ptCount val="10"/>
                <c:pt idx="0">
                  <c:v>22</c:v>
                </c:pt>
                <c:pt idx="1">
                  <c:v>63</c:v>
                </c:pt>
                <c:pt idx="2">
                  <c:v>10</c:v>
                </c:pt>
                <c:pt idx="3">
                  <c:v>19</c:v>
                </c:pt>
                <c:pt idx="4">
                  <c:v>19</c:v>
                </c:pt>
                <c:pt idx="5">
                  <c:v>26</c:v>
                </c:pt>
                <c:pt idx="6">
                  <c:v>8</c:v>
                </c:pt>
                <c:pt idx="7">
                  <c:v>15</c:v>
                </c:pt>
                <c:pt idx="8">
                  <c:v>7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C-46D8-B81D-4CF35D243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overlap val="-78"/>
        <c:axId val="274085376"/>
        <c:axId val="273858560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'CONSOLIDADO-ACUEDUCTOSRURALES2'!$C$23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'CONSOLIDADO-ACUEDUCTOSRURALES2'!$A$8:$A$16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'CONSOLIDADO-ACUEDUCTOSRURALES2'!$C$24:$C$33</c:f>
              <c:numCache>
                <c:formatCode>0.0</c:formatCode>
                <c:ptCount val="10"/>
                <c:pt idx="0">
                  <c:v>11</c:v>
                </c:pt>
                <c:pt idx="1">
                  <c:v>31.5</c:v>
                </c:pt>
                <c:pt idx="2">
                  <c:v>5</c:v>
                </c:pt>
                <c:pt idx="3">
                  <c:v>9.5</c:v>
                </c:pt>
                <c:pt idx="4">
                  <c:v>9.5</c:v>
                </c:pt>
                <c:pt idx="5">
                  <c:v>13</c:v>
                </c:pt>
                <c:pt idx="6">
                  <c:v>4</c:v>
                </c:pt>
                <c:pt idx="7">
                  <c:v>7.5</c:v>
                </c:pt>
                <c:pt idx="8">
                  <c:v>3.5000000000000004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C-46D8-B81D-4CF35D243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6"/>
        <c:axId val="274086912"/>
        <c:axId val="273859136"/>
      </c:barChart>
      <c:catAx>
        <c:axId val="2740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3858560"/>
        <c:crossesAt val="0"/>
        <c:auto val="1"/>
        <c:lblAlgn val="ctr"/>
        <c:lblOffset val="100"/>
        <c:noMultiLvlLbl val="0"/>
      </c:catAx>
      <c:valAx>
        <c:axId val="27385856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085376"/>
        <c:crosses val="autoZero"/>
        <c:crossBetween val="between"/>
        <c:majorUnit val="5"/>
      </c:valAx>
      <c:catAx>
        <c:axId val="27408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859136"/>
        <c:crosses val="autoZero"/>
        <c:auto val="1"/>
        <c:lblAlgn val="ctr"/>
        <c:lblOffset val="100"/>
        <c:noMultiLvlLbl val="0"/>
      </c:catAx>
      <c:valAx>
        <c:axId val="273859136"/>
        <c:scaling>
          <c:orientation val="minMax"/>
          <c:max val="4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086912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13719368244"/>
          <c:w val="0.4600726114819404"/>
          <c:h val="6.0105697619519005E-2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4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subregión </a:t>
            </a: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Valle de Aburra-  Antioquia -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'CONSOLIDADO-ACUEDUCTOSRURALES2'!$B$23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20499788225328239"/>
                  <c:y val="-2.56369876842308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C-4338-8B5E-7BD1F2E4B605}"/>
                </c:ext>
              </c:extLst>
            </c:dLbl>
            <c:dLbl>
              <c:idx val="1"/>
              <c:layout>
                <c:manualLayout>
                  <c:x val="0.13214712836880141"/>
                  <c:y val="4.037956793862305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C-4338-8B5E-7BD1F2E4B605}"/>
                </c:ext>
              </c:extLst>
            </c:dLbl>
            <c:dLbl>
              <c:idx val="2"/>
              <c:layout>
                <c:manualLayout>
                  <c:x val="0.25751800084709869"/>
                  <c:y val="5.15970119119716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C-4338-8B5E-7BD1F2E4B605}"/>
                </c:ext>
              </c:extLst>
            </c:dLbl>
            <c:dLbl>
              <c:idx val="3"/>
              <c:layout>
                <c:manualLayout>
                  <c:x val="0.28293096145700963"/>
                  <c:y val="5.13042600444175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C-4338-8B5E-7BD1F2E4B605}"/>
                </c:ext>
              </c:extLst>
            </c:dLbl>
            <c:dLbl>
              <c:idx val="4"/>
              <c:layout>
                <c:manualLayout>
                  <c:x val="0.16094875052943669"/>
                  <c:y val="-6.0569351907464507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EC-4338-8B5E-7BD1F2E4B605}"/>
                </c:ext>
              </c:extLst>
            </c:dLbl>
            <c:dLbl>
              <c:idx val="5"/>
              <c:layout>
                <c:manualLayout>
                  <c:x val="7.2981220422415435E-2"/>
                  <c:y val="2.54371088229355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EC-4338-8B5E-7BD1F2E4B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('CONSOLIDADO-ACUEDUCTOSRURALES2'!$D$23,'CONSOLIDADO-ACUEDUCTOSRURALES2'!$F$23,'CONSOLIDADO-ACUEDUCTOSRURALES2'!$H$23,'CONSOLIDADO-ACUEDUCTOSRURALES2'!$J$23,'CONSOLIDADO-ACUEDUCTOSRURALES2'!$L$23,'CONSOLIDADO-ACUEDUCTOSRURALES2'!$N$23)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('CONSOLIDADO-ACUEDUCTOSRURALES2'!$D$34,'CONSOLIDADO-ACUEDUCTOSRURALES2'!$F$34,'CONSOLIDADO-ACUEDUCTOSRURALES2'!$H$34,'CONSOLIDADO-ACUEDUCTOSRURALES2'!$J$34,'CONSOLIDADO-ACUEDUCTOSRURALES2'!$L$34,'CONSOLIDADO-ACUEDUCTOSRURALES2'!$N$34)</c:f>
              <c:numCache>
                <c:formatCode>General</c:formatCode>
                <c:ptCount val="6"/>
                <c:pt idx="0">
                  <c:v>38</c:v>
                </c:pt>
                <c:pt idx="1">
                  <c:v>24</c:v>
                </c:pt>
                <c:pt idx="2">
                  <c:v>48</c:v>
                </c:pt>
                <c:pt idx="3">
                  <c:v>55</c:v>
                </c:pt>
                <c:pt idx="4">
                  <c:v>31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EC-4338-8B5E-7BD1F2E4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4"/>
        <c:overlap val="-5"/>
        <c:axId val="274180608"/>
        <c:axId val="273860864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'CONSOLIDADO-ACUEDUCTOSRURALES2'!$C$23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C2EC-4338-8B5E-7BD1F2E4B605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C2EC-4338-8B5E-7BD1F2E4B605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C2EC-4338-8B5E-7BD1F2E4B60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C2EC-4338-8B5E-7BD1F2E4B60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C2EC-4338-8B5E-7BD1F2E4B60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C2EC-4338-8B5E-7BD1F2E4B605}"/>
              </c:ext>
            </c:extLst>
          </c:dPt>
          <c:dLbls>
            <c:dLbl>
              <c:idx val="0"/>
              <c:layout>
                <c:manualLayout>
                  <c:x val="-1.7725840178490999E-2"/>
                  <c:y val="5.1706111855084752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C-4338-8B5E-7BD1F2E4B605}"/>
                </c:ext>
              </c:extLst>
            </c:dLbl>
            <c:dLbl>
              <c:idx val="2"/>
              <c:layout>
                <c:manualLayout>
                  <c:x val="4.8370002034370859E-3"/>
                  <c:y val="-2.1330506763577628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EC-4338-8B5E-7BD1F2E4B605}"/>
                </c:ext>
              </c:extLst>
            </c:dLbl>
            <c:dLbl>
              <c:idx val="3"/>
              <c:layout>
                <c:manualLayout>
                  <c:x val="-7.8153191460978745E-3"/>
                  <c:y val="-2.9133858267716534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EC-4338-8B5E-7BD1F2E4B605}"/>
                </c:ext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2EC-4338-8B5E-7BD1F2E4B605}"/>
                </c:ext>
              </c:extLst>
            </c:dLbl>
            <c:dLbl>
              <c:idx val="5"/>
              <c:layout>
                <c:manualLayout>
                  <c:x val="3.6961517040356938E-3"/>
                  <c:y val="-5.2392489400363419E-4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2EC-4338-8B5E-7BD1F2E4B6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('CONSOLIDADO-ACUEDUCTOSRURALES2'!$D$23,'CONSOLIDADO-ACUEDUCTOSRURALES2'!$F$23,'CONSOLIDADO-ACUEDUCTOSRURALES2'!$H$23,'CONSOLIDADO-ACUEDUCTOSRURALES2'!$J$23,'CONSOLIDADO-ACUEDUCTOSRURALES2'!$L$23,'CONSOLIDADO-ACUEDUCTOSRURALES2'!$N$23)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('CONSOLIDADO-ACUEDUCTOSRURALES2'!$E$34,'CONSOLIDADO-ACUEDUCTOSRURALES2'!$G$34,'CONSOLIDADO-ACUEDUCTOSRURALES2'!$I$34,'CONSOLIDADO-ACUEDUCTOSRURALES2'!$K$34,'CONSOLIDADO-ACUEDUCTOSRURALES2'!$M$34,'CONSOLIDADO-ACUEDUCTOSRURALES2'!$O$34)</c:f>
              <c:numCache>
                <c:formatCode>0.0</c:formatCode>
                <c:ptCount val="6"/>
                <c:pt idx="0">
                  <c:v>19</c:v>
                </c:pt>
                <c:pt idx="1">
                  <c:v>12</c:v>
                </c:pt>
                <c:pt idx="2">
                  <c:v>24</c:v>
                </c:pt>
                <c:pt idx="3">
                  <c:v>27.500000000000004</c:v>
                </c:pt>
                <c:pt idx="4">
                  <c:v>15.5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C-4338-8B5E-7BD1F2E4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7"/>
        <c:overlap val="-5"/>
        <c:axId val="274281984"/>
        <c:axId val="273861440"/>
      </c:barChart>
      <c:catAx>
        <c:axId val="27418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860864"/>
        <c:crosses val="autoZero"/>
        <c:auto val="1"/>
        <c:lblAlgn val="ctr"/>
        <c:lblOffset val="100"/>
        <c:noMultiLvlLbl val="0"/>
      </c:catAx>
      <c:valAx>
        <c:axId val="273860864"/>
        <c:scaling>
          <c:orientation val="minMax"/>
          <c:max val="7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03014550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180608"/>
        <c:crosses val="autoZero"/>
        <c:crossBetween val="between"/>
      </c:valAx>
      <c:catAx>
        <c:axId val="274281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3861440"/>
        <c:crosses val="autoZero"/>
        <c:auto val="1"/>
        <c:lblAlgn val="ctr"/>
        <c:lblOffset val="100"/>
        <c:noMultiLvlLbl val="0"/>
      </c:catAx>
      <c:valAx>
        <c:axId val="273861440"/>
        <c:scaling>
          <c:orientation val="minMax"/>
          <c:max val="5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6895752108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281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Uraba- Antioquia - Colombia 2021</a:t>
            </a:r>
          </a:p>
        </c:rich>
      </c:tx>
      <c:layout>
        <c:manualLayout>
          <c:xMode val="edge"/>
          <c:yMode val="edge"/>
          <c:x val="0.17977430486163851"/>
          <c:y val="1.19759885505641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'CONSOLIDADO-ACUEDUCTOSRURALES2'!$B$38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'CONSOLIDADO-ACUEDUCTOSRURALES2'!$A$39:$A$49</c:f>
              <c:strCache>
                <c:ptCount val="11"/>
                <c:pt idx="0">
                  <c:v>Apartado</c:v>
                </c:pt>
                <c:pt idx="1">
                  <c:v>Arboletes</c:v>
                </c:pt>
                <c:pt idx="2">
                  <c:v>Carepa</c:v>
                </c:pt>
                <c:pt idx="3">
                  <c:v>Chigorodo</c:v>
                </c:pt>
                <c:pt idx="4">
                  <c:v>Murindo</c:v>
                </c:pt>
                <c:pt idx="5">
                  <c:v>Mutata</c:v>
                </c:pt>
                <c:pt idx="6">
                  <c:v>Necocli</c:v>
                </c:pt>
                <c:pt idx="7">
                  <c:v>San Juan de Urabá</c:v>
                </c:pt>
                <c:pt idx="8">
                  <c:v>San Pedro de Urabá</c:v>
                </c:pt>
                <c:pt idx="9">
                  <c:v>Vigía del Fuerte</c:v>
                </c:pt>
                <c:pt idx="10">
                  <c:v>Turbo</c:v>
                </c:pt>
              </c:strCache>
            </c:strRef>
          </c:cat>
          <c:val>
            <c:numRef>
              <c:f>'CONSOLIDADO-ACUEDUCTOSRURALES2'!$B$39:$B$49</c:f>
              <c:numCache>
                <c:formatCode>General</c:formatCode>
                <c:ptCount val="11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4</c:v>
                </c:pt>
                <c:pt idx="4">
                  <c:v>0</c:v>
                </c:pt>
                <c:pt idx="5">
                  <c:v>14</c:v>
                </c:pt>
                <c:pt idx="6">
                  <c:v>22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F-406B-B7EA-AF45F6425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78"/>
        <c:axId val="274181120"/>
        <c:axId val="273864320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'CONSOLIDADO-ACUEDUCTOSRURALES2'!$C$38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'CONSOLIDADO-ACUEDUCTOSRURALES2'!$A$8:$A$16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'CONSOLIDADO-ACUEDUCTOSRURALES2'!$C$39:$C$49</c:f>
              <c:numCache>
                <c:formatCode>0.0</c:formatCode>
                <c:ptCount val="11"/>
                <c:pt idx="0">
                  <c:v>9.1743119266055047</c:v>
                </c:pt>
                <c:pt idx="1">
                  <c:v>20.183486238532112</c:v>
                </c:pt>
                <c:pt idx="2">
                  <c:v>13.761467889908257</c:v>
                </c:pt>
                <c:pt idx="3">
                  <c:v>3.669724770642202</c:v>
                </c:pt>
                <c:pt idx="4">
                  <c:v>0</c:v>
                </c:pt>
                <c:pt idx="5">
                  <c:v>12.844036697247708</c:v>
                </c:pt>
                <c:pt idx="6">
                  <c:v>20.183486238532112</c:v>
                </c:pt>
                <c:pt idx="7">
                  <c:v>1.834862385321101</c:v>
                </c:pt>
                <c:pt idx="8">
                  <c:v>5.5045871559633035</c:v>
                </c:pt>
                <c:pt idx="9">
                  <c:v>0</c:v>
                </c:pt>
                <c:pt idx="10">
                  <c:v>12.844036697247708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F-406B-B7EA-AF45F6425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4280960"/>
        <c:axId val="273864896"/>
      </c:barChart>
      <c:catAx>
        <c:axId val="2741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3864320"/>
        <c:crossesAt val="0"/>
        <c:auto val="1"/>
        <c:lblAlgn val="ctr"/>
        <c:lblOffset val="100"/>
        <c:noMultiLvlLbl val="0"/>
      </c:catAx>
      <c:valAx>
        <c:axId val="27386432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181120"/>
        <c:crosses val="autoZero"/>
        <c:crossBetween val="between"/>
        <c:majorUnit val="5"/>
      </c:valAx>
      <c:catAx>
        <c:axId val="27428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864896"/>
        <c:crosses val="autoZero"/>
        <c:auto val="1"/>
        <c:lblAlgn val="ctr"/>
        <c:lblOffset val="100"/>
        <c:noMultiLvlLbl val="0"/>
      </c:catAx>
      <c:valAx>
        <c:axId val="273864896"/>
        <c:scaling>
          <c:orientation val="minMax"/>
          <c:max val="4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280960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454863142107235"/>
          <c:w val="0.4600726114819404"/>
          <c:h val="7.0264616922884646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 subregión Uraba - Antioquia -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'CONSOLIDADO-ACUEDUCTOSRURALES2'!$B$38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908513341804321E-2"/>
                  <c:y val="5.12600427190560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D-46E9-8A51-C478B93727B6}"/>
                </c:ext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D-46E9-8A51-C478B93727B6}"/>
                </c:ext>
              </c:extLst>
            </c:dLbl>
            <c:dLbl>
              <c:idx val="2"/>
              <c:layout>
                <c:manualLayout>
                  <c:x val="3.8966539601863616E-2"/>
                  <c:y val="2.59269315473496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D-46E9-8A51-C478B93727B6}"/>
                </c:ext>
              </c:extLst>
            </c:dLbl>
            <c:dLbl>
              <c:idx val="3"/>
              <c:layout>
                <c:manualLayout>
                  <c:x val="0.1219822109275730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D-46E9-8A51-C478B93727B6}"/>
                </c:ext>
              </c:extLst>
            </c:dLbl>
            <c:dLbl>
              <c:idx val="4"/>
              <c:layout>
                <c:manualLayout>
                  <c:x val="0.35069885641677256"/>
                  <c:y val="2.56815599199520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D-46E9-8A51-C478B93727B6}"/>
                </c:ext>
              </c:extLst>
            </c:dLbl>
            <c:dLbl>
              <c:idx val="5"/>
              <c:layout>
                <c:manualLayout>
                  <c:x val="6.9677535543127E-2"/>
                  <c:y val="-3.6202371255317224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D-46E9-8A51-C478B9372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('CONSOLIDADO-ACUEDUCTOSRURALES2'!$D$38,'CONSOLIDADO-ACUEDUCTOSRURALES2'!$F$38,'CONSOLIDADO-ACUEDUCTOSRURALES2'!$H$38,'CONSOLIDADO-ACUEDUCTOSRURALES2'!$J$38,'CONSOLIDADO-ACUEDUCTOSRURALES2'!$L$38,'CONSOLIDADO-ACUEDUCTOSRURALES2'!$N$38)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('CONSOLIDADO-ACUEDUCTOSRURALES2'!$D$50,'CONSOLIDADO-ACUEDUCTOSRURALES2'!$F$50,'CONSOLIDADO-ACUEDUCTOSRURALES2'!$H$50,'CONSOLIDADO-ACUEDUCTOSRURALES2'!$J$50,'CONSOLIDADO-ACUEDUCTOSRURALES2'!$L$50,'CONSOLIDADO-ACUEDUCTOSRURALES2'!$N$50)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  <c:pt idx="2">
                  <c:v>5</c:v>
                </c:pt>
                <c:pt idx="3">
                  <c:v>21</c:v>
                </c:pt>
                <c:pt idx="4">
                  <c:v>58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AD-46E9-8A51-C478B937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overlap val="-5"/>
        <c:axId val="274671616"/>
        <c:axId val="274595840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'CONSOLIDADO-ACUEDUCTOSRURALES2'!$C$38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E3AD-46E9-8A51-C478B93727B6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E3AD-46E9-8A51-C478B93727B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E3AD-46E9-8A51-C478B93727B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E3AD-46E9-8A51-C478B93727B6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E3AD-46E9-8A51-C478B93727B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E3AD-46E9-8A51-C478B93727B6}"/>
              </c:ext>
            </c:extLst>
          </c:dPt>
          <c:dLbls>
            <c:dLbl>
              <c:idx val="4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3AD-46E9-8A51-C478B93727B6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3AD-46E9-8A51-C478B9372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('CONSOLIDADO-ACUEDUCTOSRURALES2'!$E$50,'CONSOLIDADO-ACUEDUCTOSRURALES2'!$G$50,'CONSOLIDADO-ACUEDUCTOSRURALES2'!$I$50,'CONSOLIDADO-ACUEDUCTOSRURALES2'!$K$50,'CONSOLIDADO-ACUEDUCTOSRURALES2'!$M$50,'CONSOLIDADO-ACUEDUCTOSRURALES2'!$O$50)</c:f>
              <c:numCache>
                <c:formatCode>0.0</c:formatCode>
                <c:ptCount val="6"/>
                <c:pt idx="0">
                  <c:v>11.009174311926607</c:v>
                </c:pt>
                <c:pt idx="1">
                  <c:v>3.669724770642202</c:v>
                </c:pt>
                <c:pt idx="2">
                  <c:v>4.5871559633027523</c:v>
                </c:pt>
                <c:pt idx="3">
                  <c:v>19.26605504587156</c:v>
                </c:pt>
                <c:pt idx="4">
                  <c:v>53.211009174311933</c:v>
                </c:pt>
                <c:pt idx="5">
                  <c:v>8.2568807339449553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3AD-46E9-8A51-C478B937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overlap val="-5"/>
        <c:axId val="274715648"/>
        <c:axId val="274596416"/>
      </c:barChart>
      <c:catAx>
        <c:axId val="27467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595840"/>
        <c:crosses val="autoZero"/>
        <c:auto val="1"/>
        <c:lblAlgn val="ctr"/>
        <c:lblOffset val="100"/>
        <c:noMultiLvlLbl val="0"/>
      </c:catAx>
      <c:valAx>
        <c:axId val="274595840"/>
        <c:scaling>
          <c:orientation val="minMax"/>
          <c:max val="6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8970884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671616"/>
        <c:crosses val="autoZero"/>
        <c:crossBetween val="between"/>
      </c:valAx>
      <c:catAx>
        <c:axId val="27471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4596416"/>
        <c:crosses val="autoZero"/>
        <c:auto val="1"/>
        <c:lblAlgn val="ctr"/>
        <c:lblOffset val="100"/>
        <c:noMultiLvlLbl val="0"/>
      </c:catAx>
      <c:valAx>
        <c:axId val="274596416"/>
        <c:scaling>
          <c:orientation val="minMax"/>
          <c:max val="65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599910476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715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7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Norte - Antioquia- Colombia 2021</a:t>
            </a:r>
          </a:p>
        </c:rich>
      </c:tx>
      <c:layout>
        <c:manualLayout>
          <c:xMode val="edge"/>
          <c:yMode val="edge"/>
          <c:x val="0.17977430486163851"/>
          <c:y val="1.1976061358088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'CONSOLIDADO-ACUEDUCTOSRURALES2'!$B$55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'CONSOLIDADO-ACUEDUCTOSRURALES2'!$B$56:$B$72</c:f>
              <c:numCache>
                <c:formatCode>General</c:formatCode>
                <c:ptCount val="17"/>
                <c:pt idx="0">
                  <c:v>24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23</c:v>
                </c:pt>
                <c:pt idx="8">
                  <c:v>14</c:v>
                </c:pt>
                <c:pt idx="9">
                  <c:v>37</c:v>
                </c:pt>
                <c:pt idx="10">
                  <c:v>20</c:v>
                </c:pt>
                <c:pt idx="11">
                  <c:v>4</c:v>
                </c:pt>
                <c:pt idx="12">
                  <c:v>16</c:v>
                </c:pt>
                <c:pt idx="13">
                  <c:v>30</c:v>
                </c:pt>
                <c:pt idx="14">
                  <c:v>12</c:v>
                </c:pt>
                <c:pt idx="15">
                  <c:v>8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D-47E2-93AD-3D8456511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73"/>
        <c:axId val="274673152"/>
        <c:axId val="274599296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'CONSOLIDADO-ACUEDUCTOSRURALES2'!$A$56:$A$72</c:f>
              <c:strCache>
                <c:ptCount val="17"/>
                <c:pt idx="0">
                  <c:v>Angostura</c:v>
                </c:pt>
                <c:pt idx="1">
                  <c:v>Belmira</c:v>
                </c:pt>
                <c:pt idx="2">
                  <c:v>Briceño</c:v>
                </c:pt>
                <c:pt idx="3">
                  <c:v>Campamento</c:v>
                </c:pt>
                <c:pt idx="4">
                  <c:v>Carolina del Príncipe</c:v>
                </c:pt>
                <c:pt idx="5">
                  <c:v>Don Matías</c:v>
                </c:pt>
                <c:pt idx="6">
                  <c:v>Entrerríos</c:v>
                </c:pt>
                <c:pt idx="7">
                  <c:v>Gómez Plata</c:v>
                </c:pt>
                <c:pt idx="8">
                  <c:v>Guadalupe</c:v>
                </c:pt>
                <c:pt idx="9">
                  <c:v>Ituango</c:v>
                </c:pt>
                <c:pt idx="10">
                  <c:v>San Andrés de Cuerquia</c:v>
                </c:pt>
                <c:pt idx="11">
                  <c:v>San José de la Montaña</c:v>
                </c:pt>
                <c:pt idx="12">
                  <c:v>San Pedro de los Milagros</c:v>
                </c:pt>
                <c:pt idx="13">
                  <c:v>Santa Rosa de Osos</c:v>
                </c:pt>
                <c:pt idx="14">
                  <c:v>Toledo</c:v>
                </c:pt>
                <c:pt idx="15">
                  <c:v>Valdivia</c:v>
                </c:pt>
                <c:pt idx="16">
                  <c:v>Yarumal</c:v>
                </c:pt>
              </c:strCache>
            </c:strRef>
          </c:cat>
          <c:val>
            <c:numRef>
              <c:f>'CONSOLIDADO-ACUEDUCTOSRURALES2'!$C$56:$C$72</c:f>
              <c:numCache>
                <c:formatCode>0.0</c:formatCode>
                <c:ptCount val="17"/>
                <c:pt idx="0">
                  <c:v>9.4488188976377945</c:v>
                </c:pt>
                <c:pt idx="1">
                  <c:v>3.5433070866141732</c:v>
                </c:pt>
                <c:pt idx="2">
                  <c:v>4.7244094488188972</c:v>
                </c:pt>
                <c:pt idx="3">
                  <c:v>4.3307086614173231</c:v>
                </c:pt>
                <c:pt idx="4">
                  <c:v>2.3622047244094486</c:v>
                </c:pt>
                <c:pt idx="5">
                  <c:v>1.9685039370078741</c:v>
                </c:pt>
                <c:pt idx="6">
                  <c:v>4.3307086614173231</c:v>
                </c:pt>
                <c:pt idx="7">
                  <c:v>9.0551181102362204</c:v>
                </c:pt>
                <c:pt idx="8">
                  <c:v>5.5118110236220472</c:v>
                </c:pt>
                <c:pt idx="9">
                  <c:v>14.566929133858267</c:v>
                </c:pt>
                <c:pt idx="10">
                  <c:v>7.8740157480314963</c:v>
                </c:pt>
                <c:pt idx="11">
                  <c:v>1.5748031496062991</c:v>
                </c:pt>
                <c:pt idx="12">
                  <c:v>6.2992125984251963</c:v>
                </c:pt>
                <c:pt idx="13">
                  <c:v>11.811023622047244</c:v>
                </c:pt>
                <c:pt idx="14">
                  <c:v>4.7244094488188972</c:v>
                </c:pt>
                <c:pt idx="15">
                  <c:v>3.1496062992125982</c:v>
                </c:pt>
                <c:pt idx="16">
                  <c:v>4.7244094488188972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D-47E2-93AD-3D8456511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74716160"/>
        <c:axId val="274599872"/>
      </c:barChart>
      <c:catAx>
        <c:axId val="27467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599296"/>
        <c:crossesAt val="0"/>
        <c:auto val="1"/>
        <c:lblAlgn val="ctr"/>
        <c:lblOffset val="100"/>
        <c:noMultiLvlLbl val="0"/>
      </c:catAx>
      <c:valAx>
        <c:axId val="27459929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673152"/>
        <c:crosses val="autoZero"/>
        <c:crossBetween val="between"/>
        <c:majorUnit val="5"/>
      </c:valAx>
      <c:catAx>
        <c:axId val="27471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599872"/>
        <c:crosses val="autoZero"/>
        <c:auto val="1"/>
        <c:lblAlgn val="ctr"/>
        <c:lblOffset val="100"/>
        <c:noMultiLvlLbl val="0"/>
      </c:catAx>
      <c:valAx>
        <c:axId val="274599872"/>
        <c:scaling>
          <c:orientation val="minMax"/>
          <c:max val="3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716160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821021885"/>
          <c:w val="0.4600726114819404"/>
          <c:h val="6.0105803895135645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8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Numero y porcentaje de acueductos rurales por  nivel de riesgo sanitario  subregión Norte - Antioquia - Colombia  2021</a:t>
            </a:r>
          </a:p>
        </c:rich>
      </c:tx>
      <c:overlay val="1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21014317301823926"/>
          <c:y val="0.2080573725184732"/>
          <c:w val="0.69094811687293856"/>
          <c:h val="0.6697558121664360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'CONSOLIDADO-ACUEDUCTOSRURALES2'!$B$55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9.4874919542299901E-2"/>
                  <c:y val="2.57174298649800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4A-4247-A780-888D2B64B2DC}"/>
                </c:ext>
              </c:extLst>
            </c:dLbl>
            <c:dLbl>
              <c:idx val="1"/>
              <c:layout>
                <c:manualLayout>
                  <c:x val="4.5743195696471839E-2"/>
                  <c:y val="3.22681938665020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4A-4247-A780-888D2B64B2DC}"/>
                </c:ext>
              </c:extLst>
            </c:dLbl>
            <c:dLbl>
              <c:idx val="2"/>
              <c:layout>
                <c:manualLayout>
                  <c:x val="5.0825921219822143E-2"/>
                  <c:y val="5.145696928279625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4A-4247-A780-888D2B64B2DC}"/>
                </c:ext>
              </c:extLst>
            </c:dLbl>
            <c:dLbl>
              <c:idx val="3"/>
              <c:layout>
                <c:manualLayout>
                  <c:x val="0.22871664548919937"/>
                  <c:y val="-9.359602576923441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4A-4247-A780-888D2B64B2DC}"/>
                </c:ext>
              </c:extLst>
            </c:dLbl>
            <c:dLbl>
              <c:idx val="4"/>
              <c:layout>
                <c:manualLayout>
                  <c:x val="0.43032573279038977"/>
                  <c:y val="2.5683260556055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4A-4247-A780-888D2B64B2DC}"/>
                </c:ext>
              </c:extLst>
            </c:dLbl>
            <c:dLbl>
              <c:idx val="5"/>
              <c:layout>
                <c:manualLayout>
                  <c:x val="0.18161815859421637"/>
                  <c:y val="-3.014939022858262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64379500211774E-2"/>
                      <c:h val="5.71027440970006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D4A-4247-A780-888D2B64B2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('CONSOLIDADO-ACUEDUCTOSRURALES2'!$D$55,'CONSOLIDADO-ACUEDUCTOSRURALES2'!$F$55,'CONSOLIDADO-ACUEDUCTOSRURALES2'!$H$55,'CONSOLIDADO-ACUEDUCTOSRURALES2'!$J$55,'CONSOLIDADO-ACUEDUCTOSRURALES2'!$L$55,'CONSOLIDADO-ACUEDUCTOSRURALES2'!$N$55)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('CONSOLIDADO-ACUEDUCTOSRURALES2'!$D$73,'CONSOLIDADO-ACUEDUCTOSRURALES2'!$F$73,'CONSOLIDADO-ACUEDUCTOSRURALES2'!$H$73,'CONSOLIDADO-ACUEDUCTOSRURALES2'!$J$73,'CONSOLIDADO-ACUEDUCTOSRURALES2'!$L$73,'CONSOLIDADO-ACUEDUCTOSRURALES2'!$N$73)</c:f>
              <c:numCache>
                <c:formatCode>General</c:formatCode>
                <c:ptCount val="6"/>
                <c:pt idx="0">
                  <c:v>19</c:v>
                </c:pt>
                <c:pt idx="1">
                  <c:v>4</c:v>
                </c:pt>
                <c:pt idx="2">
                  <c:v>31</c:v>
                </c:pt>
                <c:pt idx="3">
                  <c:v>53</c:v>
                </c:pt>
                <c:pt idx="4">
                  <c:v>109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4A-4247-A780-888D2B64B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5"/>
        <c:axId val="274960896"/>
        <c:axId val="274601600"/>
      </c:barChart>
      <c:barChart>
        <c:barDir val="bar"/>
        <c:grouping val="stacked"/>
        <c:varyColors val="0"/>
        <c:ser>
          <c:idx val="0"/>
          <c:order val="0"/>
          <c:tx>
            <c:strRef>
              <c:f>'CONSOLIDADO-ACUEDUCTOSRURALES2'!$C$55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8-AD4A-4247-A780-888D2B64B2D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A-AD4A-4247-A780-888D2B64B2D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C-AD4A-4247-A780-888D2B64B2D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E-AD4A-4247-A780-888D2B64B2DC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0-AD4A-4247-A780-888D2B64B2D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2-AD4A-4247-A780-888D2B64B2DC}"/>
              </c:ext>
            </c:extLst>
          </c:dPt>
          <c:dLbls>
            <c:dLbl>
              <c:idx val="0"/>
              <c:layout>
                <c:manualLayout>
                  <c:x val="-2.4780638125443976E-3"/>
                  <c:y val="5.1703730384718618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4A-4247-A780-888D2B64B2DC}"/>
                </c:ext>
              </c:extLst>
            </c:dLbl>
            <c:dLbl>
              <c:idx val="2"/>
              <c:layout>
                <c:manualLayout>
                  <c:x val="-7.0223814145214062E-3"/>
                  <c:y val="2.9951698821339763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4A-4247-A780-888D2B64B2DC}"/>
                </c:ext>
              </c:extLst>
            </c:dLbl>
            <c:dLbl>
              <c:idx val="3"/>
              <c:layout>
                <c:manualLayout>
                  <c:x val="-3.1534082382014827E-2"/>
                  <c:y val="4.7559658105914811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D4A-4247-A780-888D2B64B2DC}"/>
                </c:ext>
              </c:extLst>
            </c:dLbl>
            <c:dLbl>
              <c:idx val="4"/>
              <c:layout>
                <c:manualLayout>
                  <c:x val="5.8401784910304564E-3"/>
                  <c:y val="1.7638599772729091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4A-4247-A780-888D2B64B2DC}"/>
                </c:ext>
              </c:extLst>
            </c:dLbl>
            <c:dLbl>
              <c:idx val="5"/>
              <c:layout>
                <c:manualLayout>
                  <c:x val="7.0845464520238651E-3"/>
                  <c:y val="4.5846280709164232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4A-4247-A780-888D2B64B2DC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('CONSOLIDADO-ACUEDUCTOSRURALES2'!$D$7,'CONSOLIDADO-ACUEDUCTOSRURALES2'!$F$7,'CONSOLIDADO-ACUEDUCTOSRURALES2'!$H$7,'CONSOLIDADO-ACUEDUCTOSRURALES2'!$J$7,'CONSOLIDADO-ACUEDUCTOSRURALES2'!$L$7,'CONSOLIDADO-ACUEDUCTOSRURALES2'!$N$7)</c:f>
              <c:strCache>
                <c:ptCount val="6"/>
                <c:pt idx="0">
                  <c:v>Sin Riesgo</c:v>
                </c:pt>
                <c:pt idx="1">
                  <c:v>Bajo</c:v>
                </c:pt>
                <c:pt idx="2">
                  <c:v>Medio</c:v>
                </c:pt>
                <c:pt idx="3">
                  <c:v>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('CONSOLIDADO-ACUEDUCTOSRURALES2'!$E$73,'CONSOLIDADO-ACUEDUCTOSRURALES2'!$G$73,'CONSOLIDADO-ACUEDUCTOSRURALES2'!$I$73,'CONSOLIDADO-ACUEDUCTOSRURALES2'!$K$73,'CONSOLIDADO-ACUEDUCTOSRURALES2'!$M$73,'CONSOLIDADO-ACUEDUCTOSRURALES2'!$O$73)</c:f>
              <c:numCache>
                <c:formatCode>0.0</c:formatCode>
                <c:ptCount val="6"/>
                <c:pt idx="0">
                  <c:v>7.4803149606299222</c:v>
                </c:pt>
                <c:pt idx="1">
                  <c:v>1.5748031496062991</c:v>
                </c:pt>
                <c:pt idx="2">
                  <c:v>12.204724409448819</c:v>
                </c:pt>
                <c:pt idx="3">
                  <c:v>20.866141732283463</c:v>
                </c:pt>
                <c:pt idx="4">
                  <c:v>42.913385826771652</c:v>
                </c:pt>
                <c:pt idx="5">
                  <c:v>14.960629921259844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D4A-4247-A780-888D2B64B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5"/>
        <c:axId val="274963968"/>
        <c:axId val="274602176"/>
      </c:barChart>
      <c:catAx>
        <c:axId val="27496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601600"/>
        <c:crosses val="autoZero"/>
        <c:auto val="1"/>
        <c:lblAlgn val="ctr"/>
        <c:lblOffset val="100"/>
        <c:noMultiLvlLbl val="0"/>
      </c:catAx>
      <c:valAx>
        <c:axId val="274601600"/>
        <c:scaling>
          <c:orientation val="minMax"/>
          <c:max val="1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Numero  de Acueductos</a:t>
                </a:r>
              </a:p>
            </c:rich>
          </c:tx>
          <c:layout>
            <c:manualLayout>
              <c:xMode val="edge"/>
              <c:yMode val="edge"/>
              <c:x val="0.4403355044405981"/>
              <c:y val="0.92924192695091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960896"/>
        <c:crosses val="autoZero"/>
        <c:crossBetween val="between"/>
      </c:valAx>
      <c:catAx>
        <c:axId val="274963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4602176"/>
        <c:crosses val="autoZero"/>
        <c:auto val="1"/>
        <c:lblAlgn val="ctr"/>
        <c:lblOffset val="100"/>
        <c:noMultiLvlLbl val="0"/>
      </c:catAx>
      <c:valAx>
        <c:axId val="274602176"/>
        <c:scaling>
          <c:orientation val="minMax"/>
          <c:max val="4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0.49828972776115821"/>
              <c:y val="0.1054735966223400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963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 9</a:t>
            </a: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rurales 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Occidente - Antioquia- Colombia 2021</a:t>
            </a:r>
          </a:p>
        </c:rich>
      </c:tx>
      <c:layout>
        <c:manualLayout>
          <c:xMode val="edge"/>
          <c:yMode val="edge"/>
          <c:x val="0.17977430486163851"/>
          <c:y val="1.1976032065759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99738642606248"/>
          <c:y val="0.11739752530933634"/>
          <c:w val="0.71471119175642162"/>
          <c:h val="0.6203760529933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'CONSOLIDADO-ACUEDUCTOSRURALES2'!$B$78</c:f>
              <c:strCache>
                <c:ptCount val="1"/>
                <c:pt idx="0">
                  <c:v>Número de Sistemas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'CONSOLIDADO-ACUEDUCTOSRURALES2'!$A$79:$A$97</c:f>
              <c:strCache>
                <c:ptCount val="19"/>
                <c:pt idx="0">
                  <c:v>Abriaqui</c:v>
                </c:pt>
                <c:pt idx="1">
                  <c:v>Anza</c:v>
                </c:pt>
                <c:pt idx="2">
                  <c:v>Armenia</c:v>
                </c:pt>
                <c:pt idx="3">
                  <c:v>Buritica</c:v>
                </c:pt>
                <c:pt idx="4">
                  <c:v>Caicedo</c:v>
                </c:pt>
                <c:pt idx="5">
                  <c:v>Cañas gordas</c:v>
                </c:pt>
                <c:pt idx="6">
                  <c:v>Dabeiba</c:v>
                </c:pt>
                <c:pt idx="7">
                  <c:v>Ebejico</c:v>
                </c:pt>
                <c:pt idx="8">
                  <c:v>Frontino</c:v>
                </c:pt>
                <c:pt idx="9">
                  <c:v>Giraldo</c:v>
                </c:pt>
                <c:pt idx="10">
                  <c:v>Heliconia</c:v>
                </c:pt>
                <c:pt idx="11">
                  <c:v>Liborina</c:v>
                </c:pt>
                <c:pt idx="12">
                  <c:v>Olaya</c:v>
                </c:pt>
                <c:pt idx="13">
                  <c:v>Peque</c:v>
                </c:pt>
                <c:pt idx="14">
                  <c:v>Sabanalarga</c:v>
                </c:pt>
                <c:pt idx="15">
                  <c:v>San Jerónimo</c:v>
                </c:pt>
                <c:pt idx="16">
                  <c:v>Santa Fe de Antioquia</c:v>
                </c:pt>
                <c:pt idx="17">
                  <c:v>Sopetran</c:v>
                </c:pt>
                <c:pt idx="18">
                  <c:v>Uramita</c:v>
                </c:pt>
              </c:strCache>
            </c:strRef>
          </c:cat>
          <c:val>
            <c:numRef>
              <c:f>'CONSOLIDADO-ACUEDUCTOSRURALES2'!$B$79:$B$97</c:f>
              <c:numCache>
                <c:formatCode>General</c:formatCode>
                <c:ptCount val="19"/>
                <c:pt idx="0">
                  <c:v>7</c:v>
                </c:pt>
                <c:pt idx="1">
                  <c:v>19</c:v>
                </c:pt>
                <c:pt idx="2">
                  <c:v>4</c:v>
                </c:pt>
                <c:pt idx="3">
                  <c:v>39</c:v>
                </c:pt>
                <c:pt idx="4">
                  <c:v>15</c:v>
                </c:pt>
                <c:pt idx="5">
                  <c:v>55</c:v>
                </c:pt>
                <c:pt idx="6">
                  <c:v>29</c:v>
                </c:pt>
                <c:pt idx="7">
                  <c:v>32</c:v>
                </c:pt>
                <c:pt idx="8">
                  <c:v>41</c:v>
                </c:pt>
                <c:pt idx="9">
                  <c:v>23</c:v>
                </c:pt>
                <c:pt idx="10">
                  <c:v>18</c:v>
                </c:pt>
                <c:pt idx="11">
                  <c:v>35</c:v>
                </c:pt>
                <c:pt idx="12">
                  <c:v>7</c:v>
                </c:pt>
                <c:pt idx="13">
                  <c:v>36</c:v>
                </c:pt>
                <c:pt idx="14">
                  <c:v>26</c:v>
                </c:pt>
                <c:pt idx="15">
                  <c:v>28</c:v>
                </c:pt>
                <c:pt idx="16">
                  <c:v>37</c:v>
                </c:pt>
                <c:pt idx="17">
                  <c:v>27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A-4B19-B0D1-CA851B25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-78"/>
        <c:axId val="274961408"/>
        <c:axId val="275293312"/>
      </c:barChart>
      <c:barChart>
        <c:barDir val="col"/>
        <c:grouping val="clustered"/>
        <c:varyColors val="0"/>
        <c:ser>
          <c:idx val="1"/>
          <c:order val="1"/>
          <c:tx>
            <c:strRef>
              <c:f>'CONSOLIDADO-ACUEDUCTOSRURALES2'!$C$78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'CONSOLIDADO-ACUEDUCTOSRURALES2'!$A$79:$A$97</c:f>
              <c:strCache>
                <c:ptCount val="19"/>
                <c:pt idx="0">
                  <c:v>Abriaqui</c:v>
                </c:pt>
                <c:pt idx="1">
                  <c:v>Anza</c:v>
                </c:pt>
                <c:pt idx="2">
                  <c:v>Armenia</c:v>
                </c:pt>
                <c:pt idx="3">
                  <c:v>Buritica</c:v>
                </c:pt>
                <c:pt idx="4">
                  <c:v>Caicedo</c:v>
                </c:pt>
                <c:pt idx="5">
                  <c:v>Cañas gordas</c:v>
                </c:pt>
                <c:pt idx="6">
                  <c:v>Dabeiba</c:v>
                </c:pt>
                <c:pt idx="7">
                  <c:v>Ebejico</c:v>
                </c:pt>
                <c:pt idx="8">
                  <c:v>Frontino</c:v>
                </c:pt>
                <c:pt idx="9">
                  <c:v>Giraldo</c:v>
                </c:pt>
                <c:pt idx="10">
                  <c:v>Heliconia</c:v>
                </c:pt>
                <c:pt idx="11">
                  <c:v>Liborina</c:v>
                </c:pt>
                <c:pt idx="12">
                  <c:v>Olaya</c:v>
                </c:pt>
                <c:pt idx="13">
                  <c:v>Peque</c:v>
                </c:pt>
                <c:pt idx="14">
                  <c:v>Sabanalarga</c:v>
                </c:pt>
                <c:pt idx="15">
                  <c:v>San Jerónimo</c:v>
                </c:pt>
                <c:pt idx="16">
                  <c:v>Santa Fe de Antioquia</c:v>
                </c:pt>
                <c:pt idx="17">
                  <c:v>Sopetran</c:v>
                </c:pt>
                <c:pt idx="18">
                  <c:v>Uramita</c:v>
                </c:pt>
              </c:strCache>
            </c:strRef>
          </c:cat>
          <c:val>
            <c:numRef>
              <c:f>'CONSOLIDADO-ACUEDUCTOSRURALES2'!$C$79:$C$97</c:f>
              <c:numCache>
                <c:formatCode>0.0</c:formatCode>
                <c:ptCount val="19"/>
                <c:pt idx="0">
                  <c:v>1.4198782961460445</c:v>
                </c:pt>
                <c:pt idx="1">
                  <c:v>3.8539553752535496</c:v>
                </c:pt>
                <c:pt idx="2">
                  <c:v>0.81135902636916835</c:v>
                </c:pt>
                <c:pt idx="3">
                  <c:v>7.9107505070993911</c:v>
                </c:pt>
                <c:pt idx="4">
                  <c:v>3.0425963488843815</c:v>
                </c:pt>
                <c:pt idx="5">
                  <c:v>11.156186612576064</c:v>
                </c:pt>
                <c:pt idx="6">
                  <c:v>5.8823529411764701</c:v>
                </c:pt>
                <c:pt idx="7">
                  <c:v>6.4908722109533468</c:v>
                </c:pt>
                <c:pt idx="8">
                  <c:v>8.3164300202839758</c:v>
                </c:pt>
                <c:pt idx="9">
                  <c:v>4.6653144016227177</c:v>
                </c:pt>
                <c:pt idx="10">
                  <c:v>3.6511156186612577</c:v>
                </c:pt>
                <c:pt idx="11">
                  <c:v>7.0993914807302234</c:v>
                </c:pt>
                <c:pt idx="12">
                  <c:v>1.4198782961460445</c:v>
                </c:pt>
                <c:pt idx="13">
                  <c:v>7.3022312373225153</c:v>
                </c:pt>
                <c:pt idx="14">
                  <c:v>5.2738336713995944</c:v>
                </c:pt>
                <c:pt idx="15">
                  <c:v>5.6795131845841782</c:v>
                </c:pt>
                <c:pt idx="16">
                  <c:v>7.5050709939148073</c:v>
                </c:pt>
                <c:pt idx="17">
                  <c:v>5.4766734279918863</c:v>
                </c:pt>
                <c:pt idx="18">
                  <c:v>3.0425963488843815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A-4B19-B0D1-CA851B25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023360"/>
        <c:axId val="275293888"/>
      </c:barChart>
      <c:catAx>
        <c:axId val="2749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293312"/>
        <c:crossesAt val="0"/>
        <c:auto val="1"/>
        <c:lblAlgn val="ctr"/>
        <c:lblOffset val="100"/>
        <c:noMultiLvlLbl val="0"/>
      </c:catAx>
      <c:valAx>
        <c:axId val="2752933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Numero de Sistemas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961408"/>
        <c:crosses val="autoZero"/>
        <c:crossBetween val="between"/>
        <c:majorUnit val="5"/>
      </c:valAx>
      <c:catAx>
        <c:axId val="27502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293888"/>
        <c:crosses val="autoZero"/>
        <c:auto val="1"/>
        <c:lblAlgn val="ctr"/>
        <c:lblOffset val="100"/>
        <c:noMultiLvlLbl val="0"/>
      </c:catAx>
      <c:valAx>
        <c:axId val="275293888"/>
        <c:scaling>
          <c:orientation val="minMax"/>
          <c:max val="3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5023360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9130154415977189"/>
          <c:y val="0.92708824187674221"/>
          <c:w val="0.4600726114819404"/>
          <c:h val="6.0105800728397329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image" Target="../media/image2.png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0</xdr:col>
      <xdr:colOff>2575001</xdr:colOff>
      <xdr:row>5</xdr:row>
      <xdr:rowOff>176893</xdr:rowOff>
    </xdr:to>
    <xdr:pic>
      <xdr:nvPicPr>
        <xdr:cNvPr id="48807043" name="2 Imagen">
          <a:extLst>
            <a:ext uri="{FF2B5EF4-FFF2-40B4-BE49-F238E27FC236}">
              <a16:creationId xmlns:a16="http://schemas.microsoft.com/office/drawing/2014/main" id="{00000000-0008-0000-0000-000083BCE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0"/>
          <a:ext cx="2527377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219302</xdr:colOff>
      <xdr:row>0</xdr:row>
      <xdr:rowOff>47625</xdr:rowOff>
    </xdr:from>
    <xdr:to>
      <xdr:col>0</xdr:col>
      <xdr:colOff>2776310</xdr:colOff>
      <xdr:row>5</xdr:row>
      <xdr:rowOff>142875</xdr:rowOff>
    </xdr:to>
    <xdr:pic>
      <xdr:nvPicPr>
        <xdr:cNvPr id="48818303" name="2 Imagen">
          <a:extLst>
            <a:ext uri="{FF2B5EF4-FFF2-40B4-BE49-F238E27FC236}">
              <a16:creationId xmlns:a16="http://schemas.microsoft.com/office/drawing/2014/main" id="{00000000-0008-0000-0900-00007FE8E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02" y="47625"/>
          <a:ext cx="2557008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704850</xdr:colOff>
      <xdr:row>0</xdr:row>
      <xdr:rowOff>28575</xdr:rowOff>
    </xdr:from>
    <xdr:to>
      <xdr:col>34</xdr:col>
      <xdr:colOff>581025</xdr:colOff>
      <xdr:row>17</xdr:row>
      <xdr:rowOff>0</xdr:rowOff>
    </xdr:to>
    <xdr:graphicFrame macro="">
      <xdr:nvGraphicFramePr>
        <xdr:cNvPr id="51162469" name="40 Gráfico">
          <a:extLst>
            <a:ext uri="{FF2B5EF4-FFF2-40B4-BE49-F238E27FC236}">
              <a16:creationId xmlns:a16="http://schemas.microsoft.com/office/drawing/2014/main" id="{00000000-0008-0000-0A00-000065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206375</xdr:colOff>
      <xdr:row>155</xdr:row>
      <xdr:rowOff>127000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0097750" y="461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238125</xdr:colOff>
      <xdr:row>160</xdr:row>
      <xdr:rowOff>127000</xdr:rowOff>
    </xdr:from>
    <xdr:ext cx="954898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0129500" y="47132875"/>
          <a:ext cx="9548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381000</xdr:colOff>
      <xdr:row>179</xdr:row>
      <xdr:rowOff>95250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20272375" y="527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317500</xdr:colOff>
      <xdr:row>160</xdr:row>
      <xdr:rowOff>190501</xdr:rowOff>
    </xdr:from>
    <xdr:ext cx="1002523" cy="610952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0208875" y="47196376"/>
          <a:ext cx="1002523" cy="610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333375</xdr:colOff>
      <xdr:row>161</xdr:row>
      <xdr:rowOff>15875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0224750" y="472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27</xdr:col>
      <xdr:colOff>492125</xdr:colOff>
      <xdr:row>179</xdr:row>
      <xdr:rowOff>95250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0383500" y="527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142875</xdr:colOff>
      <xdr:row>0</xdr:row>
      <xdr:rowOff>85725</xdr:rowOff>
    </xdr:from>
    <xdr:to>
      <xdr:col>1</xdr:col>
      <xdr:colOff>825219</xdr:colOff>
      <xdr:row>4</xdr:row>
      <xdr:rowOff>396875</xdr:rowOff>
    </xdr:to>
    <xdr:pic>
      <xdr:nvPicPr>
        <xdr:cNvPr id="51162476" name="27 Imagen">
          <a:extLst>
            <a:ext uri="{FF2B5EF4-FFF2-40B4-BE49-F238E27FC236}">
              <a16:creationId xmlns:a16="http://schemas.microsoft.com/office/drawing/2014/main" id="{00000000-0008-0000-0A00-00006CAD0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2650844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34925</xdr:colOff>
      <xdr:row>0</xdr:row>
      <xdr:rowOff>28575</xdr:rowOff>
    </xdr:from>
    <xdr:to>
      <xdr:col>24</xdr:col>
      <xdr:colOff>682625</xdr:colOff>
      <xdr:row>17</xdr:row>
      <xdr:rowOff>28575</xdr:rowOff>
    </xdr:to>
    <xdr:graphicFrame macro="">
      <xdr:nvGraphicFramePr>
        <xdr:cNvPr id="51162477" name="1 Gráfico">
          <a:extLst>
            <a:ext uri="{FF2B5EF4-FFF2-40B4-BE49-F238E27FC236}">
              <a16:creationId xmlns:a16="http://schemas.microsoft.com/office/drawing/2014/main" id="{00000000-0008-0000-0A00-00006D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17</xdr:row>
      <xdr:rowOff>85725</xdr:rowOff>
    </xdr:from>
    <xdr:to>
      <xdr:col>24</xdr:col>
      <xdr:colOff>704850</xdr:colOff>
      <xdr:row>34</xdr:row>
      <xdr:rowOff>38100</xdr:rowOff>
    </xdr:to>
    <xdr:graphicFrame macro="">
      <xdr:nvGraphicFramePr>
        <xdr:cNvPr id="51162478" name="1 Gráfico">
          <a:extLst>
            <a:ext uri="{FF2B5EF4-FFF2-40B4-BE49-F238E27FC236}">
              <a16:creationId xmlns:a16="http://schemas.microsoft.com/office/drawing/2014/main" id="{00000000-0008-0000-0A00-00006E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742950</xdr:colOff>
      <xdr:row>17</xdr:row>
      <xdr:rowOff>82550</xdr:rowOff>
    </xdr:from>
    <xdr:to>
      <xdr:col>34</xdr:col>
      <xdr:colOff>619125</xdr:colOff>
      <xdr:row>34</xdr:row>
      <xdr:rowOff>19050</xdr:rowOff>
    </xdr:to>
    <xdr:graphicFrame macro="">
      <xdr:nvGraphicFramePr>
        <xdr:cNvPr id="51162479" name="40 Gráfico">
          <a:extLst>
            <a:ext uri="{FF2B5EF4-FFF2-40B4-BE49-F238E27FC236}">
              <a16:creationId xmlns:a16="http://schemas.microsoft.com/office/drawing/2014/main" id="{00000000-0008-0000-0A00-00006F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79375</xdr:colOff>
      <xdr:row>34</xdr:row>
      <xdr:rowOff>127000</xdr:rowOff>
    </xdr:from>
    <xdr:to>
      <xdr:col>24</xdr:col>
      <xdr:colOff>727075</xdr:colOff>
      <xdr:row>52</xdr:row>
      <xdr:rowOff>111125</xdr:rowOff>
    </xdr:to>
    <xdr:graphicFrame macro="">
      <xdr:nvGraphicFramePr>
        <xdr:cNvPr id="51162480" name="1 Gráfico">
          <a:extLst>
            <a:ext uri="{FF2B5EF4-FFF2-40B4-BE49-F238E27FC236}">
              <a16:creationId xmlns:a16="http://schemas.microsoft.com/office/drawing/2014/main" id="{00000000-0008-0000-0A00-000070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34</xdr:col>
      <xdr:colOff>638175</xdr:colOff>
      <xdr:row>52</xdr:row>
      <xdr:rowOff>114300</xdr:rowOff>
    </xdr:to>
    <xdr:graphicFrame macro="">
      <xdr:nvGraphicFramePr>
        <xdr:cNvPr id="51162481" name="40 Gráfico">
          <a:extLst>
            <a:ext uri="{FF2B5EF4-FFF2-40B4-BE49-F238E27FC236}">
              <a16:creationId xmlns:a16="http://schemas.microsoft.com/office/drawing/2014/main" id="{00000000-0008-0000-0A00-000071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19050</xdr:colOff>
      <xdr:row>54</xdr:row>
      <xdr:rowOff>0</xdr:rowOff>
    </xdr:from>
    <xdr:to>
      <xdr:col>24</xdr:col>
      <xdr:colOff>666750</xdr:colOff>
      <xdr:row>71</xdr:row>
      <xdr:rowOff>161925</xdr:rowOff>
    </xdr:to>
    <xdr:graphicFrame macro="">
      <xdr:nvGraphicFramePr>
        <xdr:cNvPr id="51162482" name="1 Gráfico">
          <a:extLst>
            <a:ext uri="{FF2B5EF4-FFF2-40B4-BE49-F238E27FC236}">
              <a16:creationId xmlns:a16="http://schemas.microsoft.com/office/drawing/2014/main" id="{00000000-0008-0000-0A00-000072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54</xdr:row>
      <xdr:rowOff>0</xdr:rowOff>
    </xdr:from>
    <xdr:to>
      <xdr:col>34</xdr:col>
      <xdr:colOff>638175</xdr:colOff>
      <xdr:row>71</xdr:row>
      <xdr:rowOff>133350</xdr:rowOff>
    </xdr:to>
    <xdr:graphicFrame macro="">
      <xdr:nvGraphicFramePr>
        <xdr:cNvPr id="51162483" name="40 Gráfico">
          <a:extLst>
            <a:ext uri="{FF2B5EF4-FFF2-40B4-BE49-F238E27FC236}">
              <a16:creationId xmlns:a16="http://schemas.microsoft.com/office/drawing/2014/main" id="{00000000-0008-0000-0A00-000073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76</xdr:row>
      <xdr:rowOff>0</xdr:rowOff>
    </xdr:from>
    <xdr:to>
      <xdr:col>24</xdr:col>
      <xdr:colOff>647700</xdr:colOff>
      <xdr:row>92</xdr:row>
      <xdr:rowOff>142875</xdr:rowOff>
    </xdr:to>
    <xdr:graphicFrame macro="">
      <xdr:nvGraphicFramePr>
        <xdr:cNvPr id="51162484" name="1 Gráfico">
          <a:extLst>
            <a:ext uri="{FF2B5EF4-FFF2-40B4-BE49-F238E27FC236}">
              <a16:creationId xmlns:a16="http://schemas.microsoft.com/office/drawing/2014/main" id="{00000000-0008-0000-0A00-000074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0</xdr:colOff>
      <xdr:row>76</xdr:row>
      <xdr:rowOff>0</xdr:rowOff>
    </xdr:from>
    <xdr:to>
      <xdr:col>34</xdr:col>
      <xdr:colOff>638175</xdr:colOff>
      <xdr:row>92</xdr:row>
      <xdr:rowOff>114300</xdr:rowOff>
    </xdr:to>
    <xdr:graphicFrame macro="">
      <xdr:nvGraphicFramePr>
        <xdr:cNvPr id="51162485" name="40 Gráfico">
          <a:extLst>
            <a:ext uri="{FF2B5EF4-FFF2-40B4-BE49-F238E27FC236}">
              <a16:creationId xmlns:a16="http://schemas.microsoft.com/office/drawing/2014/main" id="{00000000-0008-0000-0A00-000075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100</xdr:row>
      <xdr:rowOff>0</xdr:rowOff>
    </xdr:from>
    <xdr:to>
      <xdr:col>24</xdr:col>
      <xdr:colOff>647700</xdr:colOff>
      <xdr:row>116</xdr:row>
      <xdr:rowOff>123825</xdr:rowOff>
    </xdr:to>
    <xdr:graphicFrame macro="">
      <xdr:nvGraphicFramePr>
        <xdr:cNvPr id="51162486" name="1 Gráfico">
          <a:extLst>
            <a:ext uri="{FF2B5EF4-FFF2-40B4-BE49-F238E27FC236}">
              <a16:creationId xmlns:a16="http://schemas.microsoft.com/office/drawing/2014/main" id="{00000000-0008-0000-0A00-000076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0</xdr:colOff>
      <xdr:row>100</xdr:row>
      <xdr:rowOff>0</xdr:rowOff>
    </xdr:from>
    <xdr:to>
      <xdr:col>34</xdr:col>
      <xdr:colOff>638175</xdr:colOff>
      <xdr:row>116</xdr:row>
      <xdr:rowOff>95250</xdr:rowOff>
    </xdr:to>
    <xdr:graphicFrame macro="">
      <xdr:nvGraphicFramePr>
        <xdr:cNvPr id="51162487" name="40 Gráfico">
          <a:extLst>
            <a:ext uri="{FF2B5EF4-FFF2-40B4-BE49-F238E27FC236}">
              <a16:creationId xmlns:a16="http://schemas.microsoft.com/office/drawing/2014/main" id="{00000000-0008-0000-0A00-000077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28575</xdr:colOff>
      <xdr:row>117</xdr:row>
      <xdr:rowOff>76200</xdr:rowOff>
    </xdr:from>
    <xdr:to>
      <xdr:col>24</xdr:col>
      <xdr:colOff>676275</xdr:colOff>
      <xdr:row>133</xdr:row>
      <xdr:rowOff>123825</xdr:rowOff>
    </xdr:to>
    <xdr:graphicFrame macro="">
      <xdr:nvGraphicFramePr>
        <xdr:cNvPr id="51162488" name="1 Gráfico">
          <a:extLst>
            <a:ext uri="{FF2B5EF4-FFF2-40B4-BE49-F238E27FC236}">
              <a16:creationId xmlns:a16="http://schemas.microsoft.com/office/drawing/2014/main" id="{00000000-0008-0000-0A00-000078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733425</xdr:colOff>
      <xdr:row>117</xdr:row>
      <xdr:rowOff>114300</xdr:rowOff>
    </xdr:from>
    <xdr:to>
      <xdr:col>34</xdr:col>
      <xdr:colOff>609600</xdr:colOff>
      <xdr:row>133</xdr:row>
      <xdr:rowOff>133350</xdr:rowOff>
    </xdr:to>
    <xdr:graphicFrame macro="">
      <xdr:nvGraphicFramePr>
        <xdr:cNvPr id="51162489" name="40 Gráfico">
          <a:extLst>
            <a:ext uri="{FF2B5EF4-FFF2-40B4-BE49-F238E27FC236}">
              <a16:creationId xmlns:a16="http://schemas.microsoft.com/office/drawing/2014/main" id="{00000000-0008-0000-0A00-000079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28575</xdr:colOff>
      <xdr:row>134</xdr:row>
      <xdr:rowOff>19050</xdr:rowOff>
    </xdr:from>
    <xdr:to>
      <xdr:col>24</xdr:col>
      <xdr:colOff>676275</xdr:colOff>
      <xdr:row>150</xdr:row>
      <xdr:rowOff>123825</xdr:rowOff>
    </xdr:to>
    <xdr:graphicFrame macro="">
      <xdr:nvGraphicFramePr>
        <xdr:cNvPr id="51162490" name="1 Gráfico">
          <a:extLst>
            <a:ext uri="{FF2B5EF4-FFF2-40B4-BE49-F238E27FC236}">
              <a16:creationId xmlns:a16="http://schemas.microsoft.com/office/drawing/2014/main" id="{00000000-0008-0000-0A00-00007A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134</xdr:row>
      <xdr:rowOff>0</xdr:rowOff>
    </xdr:from>
    <xdr:to>
      <xdr:col>34</xdr:col>
      <xdr:colOff>638175</xdr:colOff>
      <xdr:row>150</xdr:row>
      <xdr:rowOff>85725</xdr:rowOff>
    </xdr:to>
    <xdr:graphicFrame macro="">
      <xdr:nvGraphicFramePr>
        <xdr:cNvPr id="51162491" name="40 Gráfico">
          <a:extLst>
            <a:ext uri="{FF2B5EF4-FFF2-40B4-BE49-F238E27FC236}">
              <a16:creationId xmlns:a16="http://schemas.microsoft.com/office/drawing/2014/main" id="{00000000-0008-0000-0A00-00007B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0</xdr:colOff>
      <xdr:row>152</xdr:row>
      <xdr:rowOff>0</xdr:rowOff>
    </xdr:from>
    <xdr:to>
      <xdr:col>24</xdr:col>
      <xdr:colOff>647700</xdr:colOff>
      <xdr:row>168</xdr:row>
      <xdr:rowOff>19050</xdr:rowOff>
    </xdr:to>
    <xdr:graphicFrame macro="">
      <xdr:nvGraphicFramePr>
        <xdr:cNvPr id="51162492" name="1 Gráfico">
          <a:extLst>
            <a:ext uri="{FF2B5EF4-FFF2-40B4-BE49-F238E27FC236}">
              <a16:creationId xmlns:a16="http://schemas.microsoft.com/office/drawing/2014/main" id="{00000000-0008-0000-0A00-00007C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690563</xdr:colOff>
      <xdr:row>152</xdr:row>
      <xdr:rowOff>1</xdr:rowOff>
    </xdr:from>
    <xdr:to>
      <xdr:col>34</xdr:col>
      <xdr:colOff>566738</xdr:colOff>
      <xdr:row>167</xdr:row>
      <xdr:rowOff>142876</xdr:rowOff>
    </xdr:to>
    <xdr:graphicFrame macro="">
      <xdr:nvGraphicFramePr>
        <xdr:cNvPr id="51162493" name="40 Gráfico" descr="qwddwd">
          <a:extLst>
            <a:ext uri="{FF2B5EF4-FFF2-40B4-BE49-F238E27FC236}">
              <a16:creationId xmlns:a16="http://schemas.microsoft.com/office/drawing/2014/main" id="{00000000-0008-0000-0A00-00007D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0</xdr:colOff>
      <xdr:row>169</xdr:row>
      <xdr:rowOff>0</xdr:rowOff>
    </xdr:from>
    <xdr:to>
      <xdr:col>24</xdr:col>
      <xdr:colOff>647700</xdr:colOff>
      <xdr:row>185</xdr:row>
      <xdr:rowOff>142875</xdr:rowOff>
    </xdr:to>
    <xdr:graphicFrame macro="">
      <xdr:nvGraphicFramePr>
        <xdr:cNvPr id="51162494" name="1 Gráfico">
          <a:extLst>
            <a:ext uri="{FF2B5EF4-FFF2-40B4-BE49-F238E27FC236}">
              <a16:creationId xmlns:a16="http://schemas.microsoft.com/office/drawing/2014/main" id="{00000000-0008-0000-0A00-00007E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23813</xdr:colOff>
      <xdr:row>168</xdr:row>
      <xdr:rowOff>238125</xdr:rowOff>
    </xdr:from>
    <xdr:to>
      <xdr:col>34</xdr:col>
      <xdr:colOff>661988</xdr:colOff>
      <xdr:row>185</xdr:row>
      <xdr:rowOff>66675</xdr:rowOff>
    </xdr:to>
    <xdr:graphicFrame macro="">
      <xdr:nvGraphicFramePr>
        <xdr:cNvPr id="51162495" name="40 Gráfico">
          <a:extLst>
            <a:ext uri="{FF2B5EF4-FFF2-40B4-BE49-F238E27FC236}">
              <a16:creationId xmlns:a16="http://schemas.microsoft.com/office/drawing/2014/main" id="{00000000-0008-0000-0A00-00007FAD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95249</xdr:rowOff>
    </xdr:from>
    <xdr:to>
      <xdr:col>0</xdr:col>
      <xdr:colOff>2460625</xdr:colOff>
      <xdr:row>6</xdr:row>
      <xdr:rowOff>76465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49"/>
          <a:ext cx="2365375" cy="1371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263525</xdr:colOff>
      <xdr:row>128</xdr:row>
      <xdr:rowOff>76200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856075" y="5147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7</xdr:row>
      <xdr:rowOff>46263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14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263525</xdr:colOff>
      <xdr:row>136</xdr:row>
      <xdr:rowOff>76200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4376400" y="575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0</xdr:col>
      <xdr:colOff>2238375</xdr:colOff>
      <xdr:row>7</xdr:row>
      <xdr:rowOff>6027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38374" cy="149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50800</xdr:rowOff>
    </xdr:from>
    <xdr:to>
      <xdr:col>0</xdr:col>
      <xdr:colOff>2203450</xdr:colOff>
      <xdr:row>5</xdr:row>
      <xdr:rowOff>64407</xdr:rowOff>
    </xdr:to>
    <xdr:pic>
      <xdr:nvPicPr>
        <xdr:cNvPr id="48813183" name="2 Imagen">
          <a:extLst>
            <a:ext uri="{FF2B5EF4-FFF2-40B4-BE49-F238E27FC236}">
              <a16:creationId xmlns:a16="http://schemas.microsoft.com/office/drawing/2014/main" id="{00000000-0008-0000-0400-00007FD4E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" y="50800"/>
          <a:ext cx="2105025" cy="117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98426</xdr:colOff>
      <xdr:row>0</xdr:row>
      <xdr:rowOff>1</xdr:rowOff>
    </xdr:from>
    <xdr:to>
      <xdr:col>0</xdr:col>
      <xdr:colOff>2524126</xdr:colOff>
      <xdr:row>7</xdr:row>
      <xdr:rowOff>122274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6" y="1"/>
          <a:ext cx="2425700" cy="1433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82549</xdr:colOff>
      <xdr:row>0</xdr:row>
      <xdr:rowOff>82551</xdr:rowOff>
    </xdr:from>
    <xdr:to>
      <xdr:col>0</xdr:col>
      <xdr:colOff>2301875</xdr:colOff>
      <xdr:row>6</xdr:row>
      <xdr:rowOff>32952</xdr:rowOff>
    </xdr:to>
    <xdr:pic>
      <xdr:nvPicPr>
        <xdr:cNvPr id="48815231" name="2 Imagen">
          <a:extLst>
            <a:ext uri="{FF2B5EF4-FFF2-40B4-BE49-F238E27FC236}">
              <a16:creationId xmlns:a16="http://schemas.microsoft.com/office/drawing/2014/main" id="{00000000-0008-0000-0600-00007FDCE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82551"/>
          <a:ext cx="2219326" cy="132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55336</xdr:colOff>
      <xdr:row>0</xdr:row>
      <xdr:rowOff>53068</xdr:rowOff>
    </xdr:from>
    <xdr:to>
      <xdr:col>0</xdr:col>
      <xdr:colOff>2354036</xdr:colOff>
      <xdr:row>6</xdr:row>
      <xdr:rowOff>15876</xdr:rowOff>
    </xdr:to>
    <xdr:pic>
      <xdr:nvPicPr>
        <xdr:cNvPr id="48816258" name="2 Imagen">
          <a:extLst>
            <a:ext uri="{FF2B5EF4-FFF2-40B4-BE49-F238E27FC236}">
              <a16:creationId xmlns:a16="http://schemas.microsoft.com/office/drawing/2014/main" id="{00000000-0008-0000-0700-000082E0E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6" y="53068"/>
          <a:ext cx="2298700" cy="133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24945</xdr:colOff>
      <xdr:row>0</xdr:row>
      <xdr:rowOff>0</xdr:rowOff>
    </xdr:from>
    <xdr:to>
      <xdr:col>0</xdr:col>
      <xdr:colOff>2245178</xdr:colOff>
      <xdr:row>5</xdr:row>
      <xdr:rowOff>158563</xdr:rowOff>
    </xdr:to>
    <xdr:pic>
      <xdr:nvPicPr>
        <xdr:cNvPr id="48817409" name="3 Imagen">
          <a:extLst>
            <a:ext uri="{FF2B5EF4-FFF2-40B4-BE49-F238E27FC236}">
              <a16:creationId xmlns:a16="http://schemas.microsoft.com/office/drawing/2014/main" id="{00000000-0008-0000-0800-000001E5E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5" y="0"/>
          <a:ext cx="2220233" cy="131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printerSettings" Target="../printerSettings/printerSettings53.bin"/><Relationship Id="rId7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8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printerSettings" Target="../printerSettings/printerSettings13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8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printerSettings" Target="../printerSettings/printerSettings23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printerSettings" Target="../printerSettings/printerSettings28.bin"/><Relationship Id="rId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printerSettings" Target="../printerSettings/printerSettings33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printerSettings" Target="../printerSettings/printerSettings38.bin"/><Relationship Id="rId7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printerSettings" Target="../printerSettings/printerSettings43.bin"/><Relationship Id="rId7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W230"/>
  <sheetViews>
    <sheetView zoomScale="70" zoomScaleNormal="70" workbookViewId="0">
      <pane xSplit="3" ySplit="10" topLeftCell="D11" activePane="bottomRight" state="frozenSplit"/>
      <selection pane="topRight" activeCell="D1" sqref="D1"/>
      <selection pane="bottomLeft" activeCell="A11" sqref="A11"/>
      <selection pane="bottomRight" activeCell="B5" sqref="B5:C6"/>
    </sheetView>
  </sheetViews>
  <sheetFormatPr baseColWidth="10" defaultColWidth="0" defaultRowHeight="36.75" customHeight="1"/>
  <cols>
    <col min="1" max="1" width="39" style="202" customWidth="1"/>
    <col min="2" max="2" width="42" style="13" customWidth="1"/>
    <col min="3" max="3" width="66.28515625" style="13" customWidth="1"/>
    <col min="4" max="4" width="24.85546875" style="94" customWidth="1"/>
    <col min="5" max="18" width="10.7109375" style="13" customWidth="1"/>
    <col min="19" max="19" width="42.42578125" style="13" bestFit="1" customWidth="1"/>
    <col min="20" max="20" width="9.85546875" style="13" hidden="1" customWidth="1"/>
    <col min="21" max="16384" width="11.42578125" style="13" hidden="1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4455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17.25" customHeight="1">
      <c r="A5" s="109"/>
      <c r="B5" s="694" t="s">
        <v>4476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8.7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32" customFormat="1" ht="3" customHeight="1">
      <c r="A7" s="697"/>
      <c r="B7" s="697"/>
      <c r="C7" s="42"/>
      <c r="D7" s="9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</row>
    <row r="8" spans="1:23" s="32" customFormat="1" ht="27" customHeight="1">
      <c r="A8" s="686" t="s">
        <v>4344</v>
      </c>
      <c r="B8" s="687"/>
      <c r="C8" s="50"/>
      <c r="D8" s="20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49"/>
    </row>
    <row r="9" spans="1:23" s="10" customFormat="1" ht="18" customHeight="1">
      <c r="A9" s="698" t="s">
        <v>37</v>
      </c>
      <c r="B9" s="696" t="s">
        <v>38</v>
      </c>
      <c r="C9" s="696" t="s">
        <v>254</v>
      </c>
      <c r="D9" s="699" t="s">
        <v>402</v>
      </c>
      <c r="E9" s="705" t="s">
        <v>33</v>
      </c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692" t="s">
        <v>34</v>
      </c>
      <c r="R9" s="706" t="s">
        <v>36</v>
      </c>
      <c r="S9" s="696" t="s">
        <v>35</v>
      </c>
      <c r="T9" s="11"/>
    </row>
    <row r="10" spans="1:23" s="10" customFormat="1" ht="24" customHeight="1">
      <c r="A10" s="698"/>
      <c r="B10" s="696"/>
      <c r="C10" s="696"/>
      <c r="D10" s="700"/>
      <c r="E10" s="206" t="s">
        <v>21</v>
      </c>
      <c r="F10" s="206" t="s">
        <v>22</v>
      </c>
      <c r="G10" s="206" t="s">
        <v>23</v>
      </c>
      <c r="H10" s="206" t="s">
        <v>24</v>
      </c>
      <c r="I10" s="206" t="s">
        <v>25</v>
      </c>
      <c r="J10" s="206" t="s">
        <v>26</v>
      </c>
      <c r="K10" s="206" t="s">
        <v>27</v>
      </c>
      <c r="L10" s="206" t="s">
        <v>28</v>
      </c>
      <c r="M10" s="206" t="s">
        <v>29</v>
      </c>
      <c r="N10" s="206" t="s">
        <v>30</v>
      </c>
      <c r="O10" s="206" t="s">
        <v>31</v>
      </c>
      <c r="P10" s="206" t="s">
        <v>32</v>
      </c>
      <c r="Q10" s="692"/>
      <c r="R10" s="707"/>
      <c r="S10" s="701"/>
      <c r="T10" s="11"/>
    </row>
    <row r="11" spans="1:23" s="116" customFormat="1" ht="32.1" customHeight="1">
      <c r="A11" s="301" t="s">
        <v>77</v>
      </c>
      <c r="B11" s="302" t="s">
        <v>3781</v>
      </c>
      <c r="C11" s="302" t="s">
        <v>4077</v>
      </c>
      <c r="D11" s="304">
        <v>600</v>
      </c>
      <c r="E11" s="445"/>
      <c r="F11" s="445">
        <v>0</v>
      </c>
      <c r="G11" s="445"/>
      <c r="H11" s="445">
        <v>53.1</v>
      </c>
      <c r="I11" s="48"/>
      <c r="J11" s="48"/>
      <c r="K11" s="445">
        <v>0</v>
      </c>
      <c r="L11" s="445">
        <v>22.39</v>
      </c>
      <c r="M11" s="445"/>
      <c r="N11" s="445"/>
      <c r="O11" s="445"/>
      <c r="P11" s="445"/>
      <c r="Q11" s="314">
        <f>AVERAGE(E11:P11)</f>
        <v>18.872500000000002</v>
      </c>
      <c r="R11" s="315" t="str">
        <f>IF(Q11&lt;5,"SI","NO")</f>
        <v>NO</v>
      </c>
      <c r="S11" s="316" t="str">
        <f>IF(Q11&lt;5,"Sin Riesgo",IF(Q11 &lt;=14,"Bajo",IF(Q11&lt;=35,"Medio",IF(Q11&lt;=80,"Alto","Inviable Sanitariamente"))))</f>
        <v>Medio</v>
      </c>
      <c r="T11" s="151"/>
    </row>
    <row r="12" spans="1:23" s="116" customFormat="1" ht="32.1" customHeight="1">
      <c r="A12" s="301" t="s">
        <v>77</v>
      </c>
      <c r="B12" s="302" t="s">
        <v>259</v>
      </c>
      <c r="C12" s="302" t="s">
        <v>3782</v>
      </c>
      <c r="D12" s="304">
        <v>32</v>
      </c>
      <c r="E12" s="48"/>
      <c r="F12" s="48"/>
      <c r="G12" s="48"/>
      <c r="H12" s="48"/>
      <c r="I12" s="48"/>
      <c r="J12" s="48"/>
      <c r="K12" s="445"/>
      <c r="L12" s="445"/>
      <c r="M12" s="445">
        <v>88.81</v>
      </c>
      <c r="N12" s="445"/>
      <c r="O12" s="445"/>
      <c r="P12" s="445"/>
      <c r="Q12" s="314">
        <f>AVERAGE(E12:P12)</f>
        <v>88.81</v>
      </c>
      <c r="R12" s="315" t="str">
        <f>IF(Q12&lt;5,"SI","NO")</f>
        <v>NO</v>
      </c>
      <c r="S12" s="316" t="str">
        <f>IF(Q12&lt;5,"Sin Riesgo",IF(Q12 &lt;=14,"Bajo",IF(Q12&lt;=35,"Medio",IF(Q12&lt;=80,"Alto","Inviable Sanitariamente"))))</f>
        <v>Inviable Sanitariamente</v>
      </c>
      <c r="T12" s="151"/>
    </row>
    <row r="13" spans="1:23" s="116" customFormat="1" ht="32.1" customHeight="1">
      <c r="A13" s="301" t="s">
        <v>77</v>
      </c>
      <c r="B13" s="302" t="s">
        <v>468</v>
      </c>
      <c r="C13" s="302" t="s">
        <v>4069</v>
      </c>
      <c r="D13" s="304">
        <v>115</v>
      </c>
      <c r="E13" s="445"/>
      <c r="F13" s="445">
        <v>53.3</v>
      </c>
      <c r="G13" s="445"/>
      <c r="H13" s="445">
        <v>26.55</v>
      </c>
      <c r="I13" s="445"/>
      <c r="J13" s="48"/>
      <c r="K13" s="445"/>
      <c r="L13" s="445"/>
      <c r="M13" s="445"/>
      <c r="N13" s="445">
        <v>93.3</v>
      </c>
      <c r="O13" s="445"/>
      <c r="P13" s="445"/>
      <c r="Q13" s="314">
        <f>AVERAGE(E13:P13)</f>
        <v>57.716666666666661</v>
      </c>
      <c r="R13" s="315" t="str">
        <f>IF(Q13&lt;5,"SI","NO")</f>
        <v>NO</v>
      </c>
      <c r="S13" s="316" t="str">
        <f>IF(Q13&lt;5,"Sin Riesgo",IF(Q13 &lt;=14,"Bajo",IF(Q13&lt;=35,"Medio",IF(Q13&lt;=80,"Alto","Inviable Sanitariamente"))))</f>
        <v>Alto</v>
      </c>
      <c r="T13" s="151"/>
    </row>
    <row r="14" spans="1:23" s="116" customFormat="1" ht="32.1" customHeight="1">
      <c r="A14" s="301" t="s">
        <v>77</v>
      </c>
      <c r="B14" s="302" t="s">
        <v>4071</v>
      </c>
      <c r="C14" s="302" t="s">
        <v>4070</v>
      </c>
      <c r="D14" s="304">
        <v>225</v>
      </c>
      <c r="E14" s="445"/>
      <c r="F14" s="445">
        <v>97.35</v>
      </c>
      <c r="G14" s="445"/>
      <c r="H14" s="445">
        <v>97.35</v>
      </c>
      <c r="I14" s="445"/>
      <c r="J14" s="48"/>
      <c r="K14" s="445"/>
      <c r="L14" s="445"/>
      <c r="M14" s="445"/>
      <c r="N14" s="445">
        <v>93.3</v>
      </c>
      <c r="O14" s="445"/>
      <c r="P14" s="445"/>
      <c r="Q14" s="314">
        <f t="shared" ref="Q14:Q31" si="0">AVERAGE(E14:P14)</f>
        <v>96</v>
      </c>
      <c r="R14" s="315" t="str">
        <f t="shared" ref="R14:R31" si="1">IF(Q14&lt;5,"SI","NO")</f>
        <v>NO</v>
      </c>
      <c r="S14" s="316" t="str">
        <f t="shared" ref="S14:S31" si="2">IF(Q14&lt;5,"Sin Riesgo",IF(Q14 &lt;=14,"Bajo",IF(Q14&lt;=35,"Medio",IF(Q14&lt;=80,"Alto","Inviable Sanitariamente"))))</f>
        <v>Inviable Sanitariamente</v>
      </c>
      <c r="T14" s="151"/>
    </row>
    <row r="15" spans="1:23" s="116" customFormat="1" ht="32.1" customHeight="1">
      <c r="A15" s="301" t="s">
        <v>77</v>
      </c>
      <c r="B15" s="302" t="s">
        <v>433</v>
      </c>
      <c r="C15" s="302" t="s">
        <v>4072</v>
      </c>
      <c r="D15" s="304">
        <v>112</v>
      </c>
      <c r="E15" s="445"/>
      <c r="F15" s="445">
        <v>97.35</v>
      </c>
      <c r="G15" s="445"/>
      <c r="H15" s="445">
        <v>26.55</v>
      </c>
      <c r="I15" s="445"/>
      <c r="J15" s="48"/>
      <c r="K15" s="445"/>
      <c r="L15" s="445"/>
      <c r="M15" s="445"/>
      <c r="N15" s="445">
        <v>93.3</v>
      </c>
      <c r="O15" s="445"/>
      <c r="P15" s="445"/>
      <c r="Q15" s="314">
        <f t="shared" si="0"/>
        <v>72.399999999999991</v>
      </c>
      <c r="R15" s="315" t="str">
        <f t="shared" si="1"/>
        <v>NO</v>
      </c>
      <c r="S15" s="316" t="str">
        <f t="shared" si="2"/>
        <v>Alto</v>
      </c>
      <c r="T15" s="151"/>
    </row>
    <row r="16" spans="1:23" s="116" customFormat="1" ht="32.1" customHeight="1">
      <c r="A16" s="301" t="s">
        <v>77</v>
      </c>
      <c r="B16" s="302" t="s">
        <v>68</v>
      </c>
      <c r="C16" s="302" t="s">
        <v>4073</v>
      </c>
      <c r="D16" s="304">
        <v>105</v>
      </c>
      <c r="E16" s="445"/>
      <c r="F16" s="445">
        <v>26.55</v>
      </c>
      <c r="G16" s="445"/>
      <c r="H16" s="445">
        <v>97.35</v>
      </c>
      <c r="I16" s="445"/>
      <c r="J16" s="48"/>
      <c r="K16" s="445"/>
      <c r="L16" s="445"/>
      <c r="M16" s="445"/>
      <c r="N16" s="445">
        <v>47.01</v>
      </c>
      <c r="O16" s="445"/>
      <c r="P16" s="445"/>
      <c r="Q16" s="314">
        <f t="shared" si="0"/>
        <v>56.97</v>
      </c>
      <c r="R16" s="315" t="str">
        <f t="shared" si="1"/>
        <v>NO</v>
      </c>
      <c r="S16" s="316" t="str">
        <f t="shared" si="2"/>
        <v>Alto</v>
      </c>
      <c r="T16" s="151"/>
    </row>
    <row r="17" spans="1:20" s="116" customFormat="1" ht="32.1" customHeight="1">
      <c r="A17" s="301" t="s">
        <v>77</v>
      </c>
      <c r="B17" s="302" t="s">
        <v>1</v>
      </c>
      <c r="C17" s="302" t="s">
        <v>4075</v>
      </c>
      <c r="D17" s="304">
        <v>28</v>
      </c>
      <c r="E17" s="445"/>
      <c r="F17" s="445">
        <v>53.1</v>
      </c>
      <c r="G17" s="445"/>
      <c r="H17" s="445">
        <v>97.35</v>
      </c>
      <c r="I17" s="445"/>
      <c r="J17" s="48"/>
      <c r="K17" s="445"/>
      <c r="L17" s="445"/>
      <c r="M17" s="445"/>
      <c r="N17" s="445">
        <v>55.97</v>
      </c>
      <c r="O17" s="445"/>
      <c r="P17" s="445"/>
      <c r="Q17" s="314">
        <f t="shared" si="0"/>
        <v>68.806666666666658</v>
      </c>
      <c r="R17" s="315" t="str">
        <f t="shared" si="1"/>
        <v>NO</v>
      </c>
      <c r="S17" s="316" t="str">
        <f t="shared" si="2"/>
        <v>Alto</v>
      </c>
      <c r="T17" s="151"/>
    </row>
    <row r="18" spans="1:20" s="116" customFormat="1" ht="32.1" customHeight="1">
      <c r="A18" s="301" t="s">
        <v>77</v>
      </c>
      <c r="B18" s="302" t="s">
        <v>3174</v>
      </c>
      <c r="C18" s="302" t="s">
        <v>3783</v>
      </c>
      <c r="D18" s="304">
        <v>51</v>
      </c>
      <c r="E18" s="445"/>
      <c r="F18" s="445">
        <v>26.55</v>
      </c>
      <c r="G18" s="445"/>
      <c r="H18" s="445">
        <v>97.35</v>
      </c>
      <c r="I18" s="48"/>
      <c r="J18" s="48"/>
      <c r="K18" s="445"/>
      <c r="L18" s="445"/>
      <c r="M18" s="445"/>
      <c r="N18" s="445">
        <v>31.4</v>
      </c>
      <c r="O18" s="445"/>
      <c r="P18" s="445"/>
      <c r="Q18" s="314">
        <f t="shared" si="0"/>
        <v>51.766666666666659</v>
      </c>
      <c r="R18" s="315" t="str">
        <f t="shared" si="1"/>
        <v>NO</v>
      </c>
      <c r="S18" s="316" t="str">
        <f t="shared" si="2"/>
        <v>Alto</v>
      </c>
      <c r="T18" s="151"/>
    </row>
    <row r="19" spans="1:20" s="116" customFormat="1" ht="32.1" customHeight="1">
      <c r="A19" s="562" t="s">
        <v>77</v>
      </c>
      <c r="B19" s="563" t="s">
        <v>1</v>
      </c>
      <c r="C19" s="563" t="s">
        <v>4075</v>
      </c>
      <c r="D19" s="304">
        <v>15</v>
      </c>
      <c r="E19" s="48"/>
      <c r="F19" s="48"/>
      <c r="G19" s="48"/>
      <c r="H19" s="48"/>
      <c r="I19" s="48"/>
      <c r="J19" s="48"/>
      <c r="K19" s="48"/>
      <c r="L19" s="48"/>
      <c r="M19" s="48">
        <v>20.98</v>
      </c>
      <c r="N19" s="48"/>
      <c r="O19" s="48"/>
      <c r="P19" s="48"/>
      <c r="Q19" s="314">
        <f t="shared" si="0"/>
        <v>20.98</v>
      </c>
      <c r="R19" s="315" t="str">
        <f t="shared" si="1"/>
        <v>NO</v>
      </c>
      <c r="S19" s="316" t="str">
        <f t="shared" si="2"/>
        <v>Medio</v>
      </c>
      <c r="T19" s="151"/>
    </row>
    <row r="20" spans="1:20" s="116" customFormat="1" ht="42.75" customHeight="1">
      <c r="A20" s="404" t="s">
        <v>77</v>
      </c>
      <c r="B20" s="302" t="s">
        <v>3784</v>
      </c>
      <c r="C20" s="302" t="s">
        <v>4074</v>
      </c>
      <c r="D20" s="304">
        <v>25</v>
      </c>
      <c r="E20" s="445"/>
      <c r="F20" s="445"/>
      <c r="G20" s="445">
        <v>53.1</v>
      </c>
      <c r="H20" s="48"/>
      <c r="I20" s="48"/>
      <c r="J20" s="48">
        <v>24.59</v>
      </c>
      <c r="K20" s="445"/>
      <c r="L20" s="445"/>
      <c r="M20" s="445"/>
      <c r="N20" s="445"/>
      <c r="O20" s="445">
        <v>24.63</v>
      </c>
      <c r="P20" s="445"/>
      <c r="Q20" s="314">
        <f t="shared" si="0"/>
        <v>34.106666666666662</v>
      </c>
      <c r="R20" s="315" t="str">
        <f t="shared" si="1"/>
        <v>NO</v>
      </c>
      <c r="S20" s="316" t="str">
        <f t="shared" si="2"/>
        <v>Medio</v>
      </c>
      <c r="T20" s="151"/>
    </row>
    <row r="21" spans="1:20" s="116" customFormat="1" ht="32.1" customHeight="1">
      <c r="A21" s="404" t="s">
        <v>77</v>
      </c>
      <c r="B21" s="302" t="s">
        <v>261</v>
      </c>
      <c r="C21" s="302" t="s">
        <v>4076</v>
      </c>
      <c r="D21" s="304">
        <v>400</v>
      </c>
      <c r="E21" s="445"/>
      <c r="F21" s="445"/>
      <c r="G21" s="445">
        <v>97.35</v>
      </c>
      <c r="H21" s="445"/>
      <c r="I21" s="48"/>
      <c r="J21" s="48">
        <v>97.54</v>
      </c>
      <c r="K21" s="445">
        <v>97.76</v>
      </c>
      <c r="L21" s="445"/>
      <c r="M21" s="445"/>
      <c r="N21" s="445"/>
      <c r="O21" s="445"/>
      <c r="P21" s="445"/>
      <c r="Q21" s="314">
        <f t="shared" si="0"/>
        <v>97.55</v>
      </c>
      <c r="R21" s="315" t="str">
        <f t="shared" si="1"/>
        <v>NO</v>
      </c>
      <c r="S21" s="316" t="str">
        <f t="shared" si="2"/>
        <v>Inviable Sanitariamente</v>
      </c>
      <c r="T21" s="151"/>
    </row>
    <row r="22" spans="1:20" s="116" customFormat="1" ht="33" customHeight="1">
      <c r="A22" s="404" t="s">
        <v>77</v>
      </c>
      <c r="B22" s="302" t="s">
        <v>2150</v>
      </c>
      <c r="C22" s="302" t="s">
        <v>260</v>
      </c>
      <c r="D22" s="304">
        <v>162</v>
      </c>
      <c r="E22" s="445">
        <v>97.35</v>
      </c>
      <c r="F22" s="48"/>
      <c r="G22" s="48"/>
      <c r="H22" s="48"/>
      <c r="I22" s="48"/>
      <c r="J22" s="48">
        <v>95.08</v>
      </c>
      <c r="K22" s="445"/>
      <c r="L22" s="445"/>
      <c r="M22" s="445"/>
      <c r="N22" s="445"/>
      <c r="O22" s="445"/>
      <c r="P22" s="445">
        <v>49.25</v>
      </c>
      <c r="Q22" s="314">
        <f t="shared" si="0"/>
        <v>80.56</v>
      </c>
      <c r="R22" s="315" t="str">
        <f t="shared" si="1"/>
        <v>NO</v>
      </c>
      <c r="S22" s="316" t="str">
        <f t="shared" si="2"/>
        <v>Inviable Sanitariamente</v>
      </c>
      <c r="T22" s="151"/>
    </row>
    <row r="23" spans="1:20" s="116" customFormat="1" ht="33" customHeight="1">
      <c r="A23" s="404" t="s">
        <v>77</v>
      </c>
      <c r="B23" s="302" t="s">
        <v>4064</v>
      </c>
      <c r="C23" s="302" t="s">
        <v>4065</v>
      </c>
      <c r="D23" s="304">
        <v>22</v>
      </c>
      <c r="E23" s="445"/>
      <c r="F23" s="445"/>
      <c r="G23" s="445">
        <v>97.35</v>
      </c>
      <c r="H23" s="48"/>
      <c r="I23" s="48"/>
      <c r="J23" s="48">
        <v>95.08</v>
      </c>
      <c r="K23" s="445"/>
      <c r="L23" s="445"/>
      <c r="M23" s="445"/>
      <c r="N23" s="445"/>
      <c r="O23" s="445"/>
      <c r="P23" s="445">
        <v>49.25</v>
      </c>
      <c r="Q23" s="314">
        <f t="shared" si="0"/>
        <v>80.56</v>
      </c>
      <c r="R23" s="315" t="str">
        <f t="shared" si="1"/>
        <v>NO</v>
      </c>
      <c r="S23" s="316" t="str">
        <f t="shared" si="2"/>
        <v>Inviable Sanitariamente</v>
      </c>
      <c r="T23" s="151"/>
    </row>
    <row r="24" spans="1:20" s="116" customFormat="1" ht="32.1" customHeight="1">
      <c r="A24" s="404" t="s">
        <v>77</v>
      </c>
      <c r="B24" s="302" t="s">
        <v>264</v>
      </c>
      <c r="C24" s="302" t="s">
        <v>265</v>
      </c>
      <c r="D24" s="304">
        <v>52</v>
      </c>
      <c r="E24" s="445"/>
      <c r="F24" s="445"/>
      <c r="G24" s="445"/>
      <c r="H24" s="445"/>
      <c r="I24" s="445">
        <v>90.16</v>
      </c>
      <c r="J24" s="48"/>
      <c r="K24" s="445"/>
      <c r="L24" s="445"/>
      <c r="M24" s="445"/>
      <c r="N24" s="445"/>
      <c r="O24" s="445">
        <v>82.1</v>
      </c>
      <c r="P24" s="445"/>
      <c r="Q24" s="314">
        <f t="shared" si="0"/>
        <v>86.13</v>
      </c>
      <c r="R24" s="315" t="str">
        <f t="shared" si="1"/>
        <v>NO</v>
      </c>
      <c r="S24" s="316" t="str">
        <f t="shared" si="2"/>
        <v>Inviable Sanitariamente</v>
      </c>
      <c r="T24" s="151"/>
    </row>
    <row r="25" spans="1:20" s="116" customFormat="1" ht="32.1" customHeight="1">
      <c r="A25" s="404" t="s">
        <v>77</v>
      </c>
      <c r="B25" s="302" t="s">
        <v>262</v>
      </c>
      <c r="C25" s="302" t="s">
        <v>263</v>
      </c>
      <c r="D25" s="304">
        <v>140</v>
      </c>
      <c r="E25" s="445"/>
      <c r="F25" s="445"/>
      <c r="G25" s="445"/>
      <c r="H25" s="445"/>
      <c r="I25" s="445">
        <v>97.35</v>
      </c>
      <c r="J25" s="48"/>
      <c r="K25" s="445"/>
      <c r="L25" s="445">
        <v>91.04</v>
      </c>
      <c r="M25" s="445"/>
      <c r="N25" s="445"/>
      <c r="O25" s="445"/>
      <c r="P25" s="445"/>
      <c r="Q25" s="314">
        <f t="shared" si="0"/>
        <v>94.194999999999993</v>
      </c>
      <c r="R25" s="315" t="str">
        <f t="shared" si="1"/>
        <v>NO</v>
      </c>
      <c r="S25" s="316" t="str">
        <f t="shared" si="2"/>
        <v>Inviable Sanitariamente</v>
      </c>
      <c r="T25" s="151"/>
    </row>
    <row r="26" spans="1:20" s="116" customFormat="1" ht="32.1" customHeight="1">
      <c r="A26" s="404" t="s">
        <v>77</v>
      </c>
      <c r="B26" s="302" t="s">
        <v>39</v>
      </c>
      <c r="C26" s="302" t="s">
        <v>3785</v>
      </c>
      <c r="D26" s="304">
        <v>17</v>
      </c>
      <c r="E26" s="445"/>
      <c r="F26" s="445"/>
      <c r="G26" s="445"/>
      <c r="H26" s="445"/>
      <c r="I26" s="445">
        <v>29.51</v>
      </c>
      <c r="J26" s="48"/>
      <c r="K26" s="445"/>
      <c r="L26" s="445"/>
      <c r="M26" s="445"/>
      <c r="N26" s="445"/>
      <c r="O26" s="445">
        <v>64.180000000000007</v>
      </c>
      <c r="P26" s="445"/>
      <c r="Q26" s="314">
        <f t="shared" si="0"/>
        <v>46.845000000000006</v>
      </c>
      <c r="R26" s="315" t="str">
        <f t="shared" si="1"/>
        <v>NO</v>
      </c>
      <c r="S26" s="316" t="str">
        <f t="shared" si="2"/>
        <v>Alto</v>
      </c>
      <c r="T26" s="151"/>
    </row>
    <row r="27" spans="1:20" s="116" customFormat="1" ht="32.1" customHeight="1">
      <c r="A27" s="404" t="s">
        <v>77</v>
      </c>
      <c r="B27" s="302" t="s">
        <v>469</v>
      </c>
      <c r="C27" s="302" t="s">
        <v>266</v>
      </c>
      <c r="D27" s="304">
        <v>85</v>
      </c>
      <c r="E27" s="445"/>
      <c r="F27" s="445"/>
      <c r="G27" s="445"/>
      <c r="H27" s="445">
        <v>68.97</v>
      </c>
      <c r="I27" s="445"/>
      <c r="J27" s="48"/>
      <c r="K27" s="445"/>
      <c r="L27" s="445"/>
      <c r="M27" s="445"/>
      <c r="N27" s="445">
        <v>91</v>
      </c>
      <c r="O27" s="445"/>
      <c r="P27" s="445"/>
      <c r="Q27" s="314">
        <f t="shared" si="0"/>
        <v>79.984999999999999</v>
      </c>
      <c r="R27" s="315" t="str">
        <f t="shared" si="1"/>
        <v>NO</v>
      </c>
      <c r="S27" s="316" t="str">
        <f t="shared" si="2"/>
        <v>Alto</v>
      </c>
      <c r="T27" s="151"/>
    </row>
    <row r="28" spans="1:20" s="116" customFormat="1" ht="32.1" customHeight="1">
      <c r="A28" s="562" t="s">
        <v>77</v>
      </c>
      <c r="B28" s="563" t="s">
        <v>259</v>
      </c>
      <c r="C28" s="563" t="s">
        <v>3786</v>
      </c>
      <c r="D28" s="304">
        <v>41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14"/>
      <c r="R28" s="315"/>
      <c r="S28" s="316"/>
      <c r="T28" s="151"/>
    </row>
    <row r="29" spans="1:20" s="116" customFormat="1" ht="32.1" customHeight="1">
      <c r="A29" s="404" t="s">
        <v>77</v>
      </c>
      <c r="B29" s="302" t="s">
        <v>267</v>
      </c>
      <c r="C29" s="302" t="s">
        <v>268</v>
      </c>
      <c r="D29" s="446">
        <v>55</v>
      </c>
      <c r="E29" s="445">
        <v>97.35</v>
      </c>
      <c r="F29" s="445"/>
      <c r="G29" s="445"/>
      <c r="H29" s="445"/>
      <c r="I29" s="48"/>
      <c r="J29" s="48">
        <v>95.08</v>
      </c>
      <c r="K29" s="445"/>
      <c r="L29" s="445"/>
      <c r="M29" s="445"/>
      <c r="N29" s="445"/>
      <c r="O29" s="445"/>
      <c r="P29" s="445"/>
      <c r="Q29" s="314">
        <f t="shared" si="0"/>
        <v>96.215000000000003</v>
      </c>
      <c r="R29" s="315" t="str">
        <f t="shared" si="1"/>
        <v>NO</v>
      </c>
      <c r="S29" s="316" t="str">
        <f t="shared" si="2"/>
        <v>Inviable Sanitariamente</v>
      </c>
      <c r="T29" s="151"/>
    </row>
    <row r="30" spans="1:20" s="116" customFormat="1" ht="32.1" customHeight="1">
      <c r="A30" s="404" t="s">
        <v>77</v>
      </c>
      <c r="B30" s="302" t="s">
        <v>12</v>
      </c>
      <c r="C30" s="302" t="s">
        <v>269</v>
      </c>
      <c r="D30" s="304">
        <v>27</v>
      </c>
      <c r="E30" s="445"/>
      <c r="F30" s="445">
        <v>97.35</v>
      </c>
      <c r="G30" s="48"/>
      <c r="H30" s="48"/>
      <c r="I30" s="48"/>
      <c r="J30" s="48"/>
      <c r="K30" s="445"/>
      <c r="L30" s="445">
        <v>86.7</v>
      </c>
      <c r="M30" s="445"/>
      <c r="N30" s="445"/>
      <c r="O30" s="445"/>
      <c r="P30" s="445"/>
      <c r="Q30" s="314">
        <f t="shared" si="0"/>
        <v>92.025000000000006</v>
      </c>
      <c r="R30" s="315" t="str">
        <f t="shared" si="1"/>
        <v>NO</v>
      </c>
      <c r="S30" s="316" t="str">
        <f t="shared" si="2"/>
        <v>Inviable Sanitariamente</v>
      </c>
      <c r="T30" s="151"/>
    </row>
    <row r="31" spans="1:20" s="116" customFormat="1" ht="32.1" customHeight="1">
      <c r="A31" s="404" t="s">
        <v>77</v>
      </c>
      <c r="B31" s="302" t="s">
        <v>3787</v>
      </c>
      <c r="C31" s="302" t="s">
        <v>3788</v>
      </c>
      <c r="D31" s="304">
        <v>210</v>
      </c>
      <c r="E31" s="445"/>
      <c r="F31" s="445"/>
      <c r="G31" s="445"/>
      <c r="H31" s="445">
        <v>97.35</v>
      </c>
      <c r="I31" s="48"/>
      <c r="J31" s="48"/>
      <c r="K31" s="445"/>
      <c r="L31" s="445"/>
      <c r="M31" s="445"/>
      <c r="N31" s="445">
        <v>82.09</v>
      </c>
      <c r="O31" s="445"/>
      <c r="P31" s="445"/>
      <c r="Q31" s="314">
        <f t="shared" si="0"/>
        <v>89.72</v>
      </c>
      <c r="R31" s="315" t="str">
        <f t="shared" si="1"/>
        <v>NO</v>
      </c>
      <c r="S31" s="316" t="str">
        <f t="shared" si="2"/>
        <v>Inviable Sanitariamente</v>
      </c>
      <c r="T31" s="151"/>
    </row>
    <row r="32" spans="1:20" s="116" customFormat="1" ht="32.1" customHeight="1">
      <c r="A32" s="562" t="s">
        <v>77</v>
      </c>
      <c r="B32" s="563" t="s">
        <v>4083</v>
      </c>
      <c r="C32" s="563" t="s">
        <v>4084</v>
      </c>
      <c r="D32" s="304">
        <v>70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14"/>
      <c r="R32" s="315"/>
      <c r="S32" s="316"/>
      <c r="T32" s="151"/>
    </row>
    <row r="33" spans="1:20" s="116" customFormat="1" ht="32.1" customHeight="1">
      <c r="A33" s="564" t="s">
        <v>77</v>
      </c>
      <c r="B33" s="563" t="s">
        <v>4066</v>
      </c>
      <c r="C33" s="563" t="s">
        <v>4067</v>
      </c>
      <c r="D33" s="304">
        <v>116</v>
      </c>
      <c r="E33" s="445"/>
      <c r="F33" s="445"/>
      <c r="G33" s="445"/>
      <c r="H33" s="445">
        <v>97.35</v>
      </c>
      <c r="I33" s="48"/>
      <c r="J33" s="48"/>
      <c r="K33" s="445"/>
      <c r="L33" s="445"/>
      <c r="M33" s="445"/>
      <c r="N33" s="445">
        <v>91.04</v>
      </c>
      <c r="O33" s="445"/>
      <c r="P33" s="445"/>
      <c r="Q33" s="314">
        <f t="shared" ref="Q33:Q44" si="3">AVERAGE(E33:P33)</f>
        <v>94.194999999999993</v>
      </c>
      <c r="R33" s="315" t="str">
        <f t="shared" ref="R33:R44" si="4">IF(Q33&lt;5,"SI","NO")</f>
        <v>NO</v>
      </c>
      <c r="S33" s="316" t="str">
        <f t="shared" ref="S33:S44" si="5">IF(Q33&lt;5,"Sin Riesgo",IF(Q33 &lt;=14,"Bajo",IF(Q33&lt;=35,"Medio",IF(Q33&lt;=80,"Alto","Inviable Sanitariamente"))))</f>
        <v>Inviable Sanitariamente</v>
      </c>
      <c r="T33" s="151"/>
    </row>
    <row r="34" spans="1:20" s="116" customFormat="1" ht="32.1" customHeight="1">
      <c r="A34" s="564" t="s">
        <v>77</v>
      </c>
      <c r="B34" s="563" t="s">
        <v>234</v>
      </c>
      <c r="C34" s="563" t="s">
        <v>270</v>
      </c>
      <c r="D34" s="304">
        <v>119</v>
      </c>
      <c r="E34" s="445"/>
      <c r="F34" s="445"/>
      <c r="G34" s="445"/>
      <c r="H34" s="445"/>
      <c r="I34" s="445">
        <v>90.16</v>
      </c>
      <c r="J34" s="48"/>
      <c r="K34" s="445"/>
      <c r="L34" s="445"/>
      <c r="M34" s="445"/>
      <c r="N34" s="445">
        <v>59.7</v>
      </c>
      <c r="O34" s="445"/>
      <c r="P34" s="445"/>
      <c r="Q34" s="314">
        <f t="shared" si="3"/>
        <v>74.930000000000007</v>
      </c>
      <c r="R34" s="315" t="str">
        <f t="shared" si="4"/>
        <v>NO</v>
      </c>
      <c r="S34" s="316" t="str">
        <f t="shared" si="5"/>
        <v>Alto</v>
      </c>
      <c r="T34" s="151"/>
    </row>
    <row r="35" spans="1:20" s="116" customFormat="1" ht="32.1" customHeight="1">
      <c r="A35" s="564" t="s">
        <v>77</v>
      </c>
      <c r="B35" s="563" t="s">
        <v>70</v>
      </c>
      <c r="C35" s="563" t="s">
        <v>3789</v>
      </c>
      <c r="D35" s="304">
        <v>95</v>
      </c>
      <c r="E35" s="445"/>
      <c r="F35" s="445">
        <v>97.35</v>
      </c>
      <c r="G35" s="48"/>
      <c r="H35" s="48"/>
      <c r="I35" s="48"/>
      <c r="J35" s="48"/>
      <c r="K35" s="445"/>
      <c r="L35" s="445">
        <v>86.57</v>
      </c>
      <c r="M35" s="445"/>
      <c r="N35" s="445"/>
      <c r="O35" s="445"/>
      <c r="P35" s="445"/>
      <c r="Q35" s="314">
        <f t="shared" si="3"/>
        <v>91.96</v>
      </c>
      <c r="R35" s="315" t="str">
        <f t="shared" si="4"/>
        <v>NO</v>
      </c>
      <c r="S35" s="316" t="str">
        <f t="shared" si="5"/>
        <v>Inviable Sanitariamente</v>
      </c>
      <c r="T35" s="151"/>
    </row>
    <row r="36" spans="1:20" s="116" customFormat="1" ht="32.1" customHeight="1">
      <c r="A36" s="564" t="s">
        <v>77</v>
      </c>
      <c r="B36" s="563" t="s">
        <v>3790</v>
      </c>
      <c r="C36" s="563" t="s">
        <v>3791</v>
      </c>
      <c r="D36" s="304">
        <v>42</v>
      </c>
      <c r="E36" s="445">
        <v>26.55</v>
      </c>
      <c r="F36" s="48"/>
      <c r="G36" s="48"/>
      <c r="H36" s="48"/>
      <c r="I36" s="48"/>
      <c r="J36" s="48">
        <v>29.51</v>
      </c>
      <c r="K36" s="445"/>
      <c r="L36" s="445"/>
      <c r="M36" s="445"/>
      <c r="N36" s="445"/>
      <c r="O36" s="445"/>
      <c r="P36" s="445"/>
      <c r="Q36" s="314">
        <f t="shared" si="3"/>
        <v>28.03</v>
      </c>
      <c r="R36" s="315" t="str">
        <f t="shared" si="4"/>
        <v>NO</v>
      </c>
      <c r="S36" s="316" t="str">
        <f t="shared" si="5"/>
        <v>Medio</v>
      </c>
      <c r="T36" s="151"/>
    </row>
    <row r="37" spans="1:20" s="116" customFormat="1" ht="32.1" customHeight="1">
      <c r="A37" s="564" t="s">
        <v>77</v>
      </c>
      <c r="B37" s="563" t="s">
        <v>434</v>
      </c>
      <c r="C37" s="563" t="s">
        <v>271</v>
      </c>
      <c r="D37" s="304">
        <v>351</v>
      </c>
      <c r="E37" s="445"/>
      <c r="F37" s="445"/>
      <c r="G37" s="445">
        <v>53.1</v>
      </c>
      <c r="H37" s="48"/>
      <c r="I37" s="48"/>
      <c r="J37" s="48">
        <v>97.54</v>
      </c>
      <c r="K37" s="445">
        <v>49.25</v>
      </c>
      <c r="L37" s="445"/>
      <c r="M37" s="445"/>
      <c r="N37" s="445"/>
      <c r="O37" s="445"/>
      <c r="P37" s="445"/>
      <c r="Q37" s="314">
        <f t="shared" si="3"/>
        <v>66.63000000000001</v>
      </c>
      <c r="R37" s="315" t="str">
        <f t="shared" si="4"/>
        <v>NO</v>
      </c>
      <c r="S37" s="316" t="str">
        <f t="shared" si="5"/>
        <v>Alto</v>
      </c>
      <c r="T37" s="151"/>
    </row>
    <row r="38" spans="1:20" s="116" customFormat="1" ht="32.1" customHeight="1">
      <c r="A38" s="564" t="s">
        <v>77</v>
      </c>
      <c r="B38" s="563" t="s">
        <v>3792</v>
      </c>
      <c r="C38" s="563" t="s">
        <v>3793</v>
      </c>
      <c r="D38" s="446">
        <v>65</v>
      </c>
      <c r="E38" s="445"/>
      <c r="F38" s="445"/>
      <c r="G38" s="447"/>
      <c r="H38" s="445">
        <v>97.54</v>
      </c>
      <c r="I38" s="48"/>
      <c r="J38" s="48"/>
      <c r="K38" s="445"/>
      <c r="L38" s="445"/>
      <c r="M38" s="445"/>
      <c r="N38" s="445"/>
      <c r="O38" s="445">
        <v>88.81</v>
      </c>
      <c r="P38" s="445"/>
      <c r="Q38" s="314">
        <f t="shared" si="3"/>
        <v>93.175000000000011</v>
      </c>
      <c r="R38" s="315" t="str">
        <f t="shared" si="4"/>
        <v>NO</v>
      </c>
      <c r="S38" s="316" t="str">
        <f t="shared" si="5"/>
        <v>Inviable Sanitariamente</v>
      </c>
      <c r="T38" s="151"/>
    </row>
    <row r="39" spans="1:20" s="116" customFormat="1" ht="32.1" customHeight="1">
      <c r="A39" s="564" t="s">
        <v>77</v>
      </c>
      <c r="B39" s="563" t="s">
        <v>3794</v>
      </c>
      <c r="C39" s="563" t="s">
        <v>3795</v>
      </c>
      <c r="D39" s="446">
        <v>20</v>
      </c>
      <c r="E39" s="445"/>
      <c r="F39" s="445"/>
      <c r="G39" s="445"/>
      <c r="H39" s="445"/>
      <c r="I39" s="445">
        <v>29.51</v>
      </c>
      <c r="J39" s="48"/>
      <c r="K39" s="445"/>
      <c r="L39" s="445"/>
      <c r="M39" s="445"/>
      <c r="N39" s="445"/>
      <c r="O39" s="445">
        <v>97.76</v>
      </c>
      <c r="P39" s="445"/>
      <c r="Q39" s="314">
        <f t="shared" si="3"/>
        <v>63.635000000000005</v>
      </c>
      <c r="R39" s="315" t="str">
        <f t="shared" si="4"/>
        <v>NO</v>
      </c>
      <c r="S39" s="316" t="str">
        <f t="shared" si="5"/>
        <v>Alto</v>
      </c>
      <c r="T39" s="151"/>
    </row>
    <row r="40" spans="1:20" s="116" customFormat="1" ht="32.1" customHeight="1">
      <c r="A40" s="564" t="s">
        <v>77</v>
      </c>
      <c r="B40" s="563" t="s">
        <v>3796</v>
      </c>
      <c r="C40" s="563" t="s">
        <v>3797</v>
      </c>
      <c r="D40" s="304">
        <v>530</v>
      </c>
      <c r="E40" s="445"/>
      <c r="F40" s="445"/>
      <c r="G40" s="445">
        <v>53.1</v>
      </c>
      <c r="H40" s="445">
        <v>0</v>
      </c>
      <c r="I40" s="445"/>
      <c r="J40" s="48">
        <v>29.51</v>
      </c>
      <c r="K40" s="445"/>
      <c r="L40" s="445">
        <v>33.58</v>
      </c>
      <c r="M40" s="445"/>
      <c r="N40" s="445"/>
      <c r="O40" s="445">
        <v>0</v>
      </c>
      <c r="P40" s="445"/>
      <c r="Q40" s="314">
        <f t="shared" si="3"/>
        <v>23.238</v>
      </c>
      <c r="R40" s="315" t="str">
        <f t="shared" si="4"/>
        <v>NO</v>
      </c>
      <c r="S40" s="316" t="str">
        <f t="shared" si="5"/>
        <v>Medio</v>
      </c>
      <c r="T40" s="151"/>
    </row>
    <row r="41" spans="1:20" s="116" customFormat="1" ht="32.1" customHeight="1">
      <c r="A41" s="562" t="s">
        <v>77</v>
      </c>
      <c r="B41" s="563" t="s">
        <v>40</v>
      </c>
      <c r="C41" s="563" t="s">
        <v>3798</v>
      </c>
      <c r="D41" s="304">
        <v>8</v>
      </c>
      <c r="E41" s="48"/>
      <c r="F41" s="48"/>
      <c r="G41" s="48"/>
      <c r="H41" s="48"/>
      <c r="I41" s="48"/>
      <c r="J41" s="48">
        <v>38.700000000000003</v>
      </c>
      <c r="K41" s="48"/>
      <c r="L41" s="48"/>
      <c r="M41" s="48"/>
      <c r="N41" s="48"/>
      <c r="O41" s="48">
        <v>38.71</v>
      </c>
      <c r="P41" s="48"/>
      <c r="Q41" s="314">
        <f t="shared" si="3"/>
        <v>38.704999999999998</v>
      </c>
      <c r="R41" s="315" t="str">
        <f t="shared" si="4"/>
        <v>NO</v>
      </c>
      <c r="S41" s="316" t="str">
        <f t="shared" si="5"/>
        <v>Alto</v>
      </c>
      <c r="T41" s="151"/>
    </row>
    <row r="42" spans="1:20" s="116" customFormat="1" ht="45" customHeight="1">
      <c r="A42" s="404" t="s">
        <v>77</v>
      </c>
      <c r="B42" s="302" t="s">
        <v>470</v>
      </c>
      <c r="C42" s="302" t="s">
        <v>3799</v>
      </c>
      <c r="D42" s="304">
        <v>200</v>
      </c>
      <c r="E42" s="445"/>
      <c r="F42" s="445">
        <v>0</v>
      </c>
      <c r="G42" s="445"/>
      <c r="H42" s="445"/>
      <c r="I42" s="445">
        <v>0</v>
      </c>
      <c r="J42" s="48"/>
      <c r="K42" s="445"/>
      <c r="L42" s="445">
        <v>61.9</v>
      </c>
      <c r="M42" s="445"/>
      <c r="N42" s="445"/>
      <c r="O42" s="445">
        <v>22.4</v>
      </c>
      <c r="P42" s="445"/>
      <c r="Q42" s="314">
        <f t="shared" si="3"/>
        <v>21.074999999999999</v>
      </c>
      <c r="R42" s="315" t="str">
        <f t="shared" si="4"/>
        <v>NO</v>
      </c>
      <c r="S42" s="316" t="str">
        <f t="shared" si="5"/>
        <v>Medio</v>
      </c>
      <c r="T42" s="151"/>
    </row>
    <row r="43" spans="1:20" s="116" customFormat="1" ht="32.1" customHeight="1">
      <c r="A43" s="404" t="s">
        <v>77</v>
      </c>
      <c r="B43" s="302" t="s">
        <v>3800</v>
      </c>
      <c r="C43" s="302" t="s">
        <v>3801</v>
      </c>
      <c r="D43" s="304">
        <v>307</v>
      </c>
      <c r="E43" s="445"/>
      <c r="F43" s="445"/>
      <c r="G43" s="445">
        <v>97.54</v>
      </c>
      <c r="H43" s="445"/>
      <c r="I43" s="445">
        <v>97.54</v>
      </c>
      <c r="J43" s="48"/>
      <c r="K43" s="445"/>
      <c r="L43" s="445"/>
      <c r="M43" s="445"/>
      <c r="N43" s="445"/>
      <c r="O43" s="445"/>
      <c r="P43" s="445">
        <v>49.25</v>
      </c>
      <c r="Q43" s="314">
        <f t="shared" si="3"/>
        <v>81.443333333333342</v>
      </c>
      <c r="R43" s="315" t="str">
        <f t="shared" si="4"/>
        <v>NO</v>
      </c>
      <c r="S43" s="316" t="str">
        <f t="shared" si="5"/>
        <v>Inviable Sanitariamente</v>
      </c>
      <c r="T43" s="151"/>
    </row>
    <row r="44" spans="1:20" s="116" customFormat="1" ht="32.1" customHeight="1">
      <c r="A44" s="404" t="s">
        <v>77</v>
      </c>
      <c r="B44" s="302" t="s">
        <v>4081</v>
      </c>
      <c r="C44" s="302" t="s">
        <v>4082</v>
      </c>
      <c r="D44" s="304">
        <v>120</v>
      </c>
      <c r="E44" s="445"/>
      <c r="F44" s="445"/>
      <c r="G44" s="445">
        <v>97.54</v>
      </c>
      <c r="H44" s="445"/>
      <c r="I44" s="445">
        <v>97.54</v>
      </c>
      <c r="J44" s="48"/>
      <c r="K44" s="445"/>
      <c r="L44" s="445"/>
      <c r="M44" s="445"/>
      <c r="N44" s="445"/>
      <c r="O44" s="445"/>
      <c r="P44" s="445">
        <v>49.25</v>
      </c>
      <c r="Q44" s="314">
        <f t="shared" si="3"/>
        <v>81.443333333333342</v>
      </c>
      <c r="R44" s="315" t="str">
        <f t="shared" si="4"/>
        <v>NO</v>
      </c>
      <c r="S44" s="316" t="str">
        <f t="shared" si="5"/>
        <v>Inviable Sanitariamente</v>
      </c>
      <c r="T44" s="151"/>
    </row>
    <row r="45" spans="1:20" s="116" customFormat="1" ht="32.1" customHeight="1">
      <c r="A45" s="404" t="s">
        <v>77</v>
      </c>
      <c r="B45" s="302" t="s">
        <v>41</v>
      </c>
      <c r="C45" s="302" t="s">
        <v>3802</v>
      </c>
      <c r="D45" s="304">
        <v>57</v>
      </c>
      <c r="E45" s="445"/>
      <c r="F45" s="445"/>
      <c r="G45" s="445"/>
      <c r="H45" s="445"/>
      <c r="I45" s="445">
        <v>90.16</v>
      </c>
      <c r="J45" s="48"/>
      <c r="K45" s="445"/>
      <c r="L45" s="445"/>
      <c r="M45" s="445"/>
      <c r="N45" s="445">
        <v>82.1</v>
      </c>
      <c r="O45" s="445"/>
      <c r="P45" s="445"/>
      <c r="Q45" s="314">
        <f>AVERAGE(E45:P45)</f>
        <v>86.13</v>
      </c>
      <c r="R45" s="315" t="str">
        <f>IF(Q45&lt;5,"SI","NO")</f>
        <v>NO</v>
      </c>
      <c r="S45" s="316" t="str">
        <f>IF(Q45&lt;5,"Sin Riesgo",IF(Q45 &lt;=14,"Bajo",IF(Q45&lt;=35,"Medio",IF(Q45&lt;=80,"Alto","Inviable Sanitariamente"))))</f>
        <v>Inviable Sanitariamente</v>
      </c>
      <c r="T45" s="151"/>
    </row>
    <row r="46" spans="1:20" s="116" customFormat="1" ht="32.1" customHeight="1">
      <c r="A46" s="404" t="s">
        <v>77</v>
      </c>
      <c r="B46" s="302" t="s">
        <v>272</v>
      </c>
      <c r="C46" s="302" t="s">
        <v>273</v>
      </c>
      <c r="D46" s="304">
        <v>32</v>
      </c>
      <c r="E46" s="445"/>
      <c r="F46" s="445">
        <v>92.62</v>
      </c>
      <c r="G46" s="48"/>
      <c r="H46" s="48"/>
      <c r="I46" s="48"/>
      <c r="J46" s="48"/>
      <c r="K46" s="445"/>
      <c r="L46" s="445"/>
      <c r="M46" s="445"/>
      <c r="N46" s="445"/>
      <c r="O46" s="445">
        <v>84.3</v>
      </c>
      <c r="P46" s="445"/>
      <c r="Q46" s="314">
        <f>AVERAGE(E46:P46)</f>
        <v>88.460000000000008</v>
      </c>
      <c r="R46" s="315" t="str">
        <f>IF(Q46&lt;5,"SI","NO")</f>
        <v>NO</v>
      </c>
      <c r="S46" s="316" t="str">
        <f>IF(Q46&lt;5,"Sin Riesgo",IF(Q46 &lt;=14,"Bajo",IF(Q46&lt;=35,"Medio",IF(Q46&lt;=80,"Alto","Inviable Sanitariamente"))))</f>
        <v>Inviable Sanitariamente</v>
      </c>
      <c r="T46" s="151"/>
    </row>
    <row r="47" spans="1:20" s="116" customFormat="1" ht="47.25" customHeight="1">
      <c r="A47" s="404" t="s">
        <v>77</v>
      </c>
      <c r="B47" s="302" t="s">
        <v>10</v>
      </c>
      <c r="C47" s="302" t="s">
        <v>3803</v>
      </c>
      <c r="D47" s="446">
        <v>35</v>
      </c>
      <c r="E47" s="445"/>
      <c r="F47" s="445">
        <v>26.65</v>
      </c>
      <c r="G47" s="48"/>
      <c r="H47" s="48"/>
      <c r="I47" s="48"/>
      <c r="J47" s="48"/>
      <c r="K47" s="445">
        <v>49.18</v>
      </c>
      <c r="L47" s="445"/>
      <c r="M47" s="445"/>
      <c r="N47" s="445"/>
      <c r="O47" s="445"/>
      <c r="P47" s="445"/>
      <c r="Q47" s="314">
        <f>AVERAGE(E47:P47)</f>
        <v>37.914999999999999</v>
      </c>
      <c r="R47" s="315" t="str">
        <f>IF(Q47&lt;5,"SI","NO")</f>
        <v>NO</v>
      </c>
      <c r="S47" s="316" t="str">
        <f>IF(Q47&lt;5,"Sin Riesgo",IF(Q47 &lt;=14,"Bajo",IF(Q47&lt;=35,"Medio",IF(Q47&lt;=80,"Alto","Inviable Sanitariamente"))))</f>
        <v>Alto</v>
      </c>
      <c r="T47" s="151"/>
    </row>
    <row r="48" spans="1:20" s="116" customFormat="1" ht="47.25" customHeight="1">
      <c r="A48" s="404" t="s">
        <v>77</v>
      </c>
      <c r="B48" s="302" t="s">
        <v>4089</v>
      </c>
      <c r="C48" s="302" t="s">
        <v>4090</v>
      </c>
      <c r="D48" s="446">
        <v>140</v>
      </c>
      <c r="E48" s="445"/>
      <c r="F48" s="445">
        <v>0</v>
      </c>
      <c r="G48" s="48"/>
      <c r="H48" s="48"/>
      <c r="I48" s="48"/>
      <c r="J48" s="48"/>
      <c r="K48" s="445">
        <v>29.5</v>
      </c>
      <c r="L48" s="445"/>
      <c r="M48" s="445"/>
      <c r="N48" s="445"/>
      <c r="O48" s="445"/>
      <c r="P48" s="445"/>
      <c r="Q48" s="314">
        <f t="shared" ref="Q48:Q49" si="6">AVERAGE(E48:P48)</f>
        <v>14.75</v>
      </c>
      <c r="R48" s="315" t="str">
        <f t="shared" ref="R48:R49" si="7">IF(Q48&lt;5,"SI","NO")</f>
        <v>NO</v>
      </c>
      <c r="S48" s="316" t="str">
        <f t="shared" ref="S48:S49" si="8">IF(Q48&lt;5,"Sin Riesgo",IF(Q48 &lt;=14,"Bajo",IF(Q48&lt;=35,"Medio",IF(Q48&lt;=80,"Alto","Inviable Sanitariamente"))))</f>
        <v>Medio</v>
      </c>
      <c r="T48" s="151"/>
    </row>
    <row r="49" spans="1:23" s="116" customFormat="1" ht="47.25" customHeight="1">
      <c r="A49" s="404" t="s">
        <v>77</v>
      </c>
      <c r="B49" s="302" t="s">
        <v>4091</v>
      </c>
      <c r="C49" s="302" t="s">
        <v>4092</v>
      </c>
      <c r="D49" s="446">
        <v>30</v>
      </c>
      <c r="E49" s="445"/>
      <c r="F49" s="445">
        <v>0</v>
      </c>
      <c r="G49" s="48"/>
      <c r="H49" s="48"/>
      <c r="I49" s="48"/>
      <c r="J49" s="48"/>
      <c r="K49" s="445">
        <v>29.51</v>
      </c>
      <c r="L49" s="445"/>
      <c r="M49" s="445"/>
      <c r="N49" s="445"/>
      <c r="O49" s="445"/>
      <c r="P49" s="445"/>
      <c r="Q49" s="314">
        <f t="shared" si="6"/>
        <v>14.755000000000001</v>
      </c>
      <c r="R49" s="315" t="str">
        <f t="shared" si="7"/>
        <v>NO</v>
      </c>
      <c r="S49" s="316" t="str">
        <f t="shared" si="8"/>
        <v>Medio</v>
      </c>
      <c r="T49" s="151"/>
    </row>
    <row r="50" spans="1:23" s="116" customFormat="1" ht="32.1" customHeight="1">
      <c r="A50" s="404" t="s">
        <v>77</v>
      </c>
      <c r="B50" s="302" t="s">
        <v>42</v>
      </c>
      <c r="C50" s="302" t="s">
        <v>3804</v>
      </c>
      <c r="D50" s="304">
        <v>57</v>
      </c>
      <c r="E50" s="48"/>
      <c r="F50" s="48"/>
      <c r="G50" s="48"/>
      <c r="H50" s="48"/>
      <c r="I50" s="48"/>
      <c r="J50" s="48"/>
      <c r="K50" s="445"/>
      <c r="L50" s="445"/>
      <c r="M50" s="445"/>
      <c r="N50" s="445"/>
      <c r="O50" s="445"/>
      <c r="P50" s="445"/>
      <c r="Q50" s="314"/>
      <c r="R50" s="315"/>
      <c r="S50" s="316"/>
      <c r="T50" s="220"/>
      <c r="U50" s="221"/>
      <c r="V50" s="221"/>
      <c r="W50" s="221"/>
    </row>
    <row r="51" spans="1:23" s="116" customFormat="1" ht="32.1" customHeight="1">
      <c r="A51" s="404" t="s">
        <v>77</v>
      </c>
      <c r="B51" s="302" t="s">
        <v>43</v>
      </c>
      <c r="C51" s="302" t="s">
        <v>3805</v>
      </c>
      <c r="D51" s="304">
        <v>120</v>
      </c>
      <c r="E51" s="445"/>
      <c r="F51" s="445"/>
      <c r="G51" s="445"/>
      <c r="H51" s="445">
        <v>68.97</v>
      </c>
      <c r="I51" s="48"/>
      <c r="J51" s="48"/>
      <c r="K51" s="445"/>
      <c r="L51" s="445"/>
      <c r="M51" s="445"/>
      <c r="N51" s="445"/>
      <c r="O51" s="445">
        <v>59.7</v>
      </c>
      <c r="P51" s="445"/>
      <c r="Q51" s="314">
        <f t="shared" ref="Q51:Q86" si="9">AVERAGE(E51:P51)</f>
        <v>64.335000000000008</v>
      </c>
      <c r="R51" s="315" t="str">
        <f t="shared" ref="R51:R86" si="10">IF(Q51&lt;5,"SI","NO")</f>
        <v>NO</v>
      </c>
      <c r="S51" s="316" t="str">
        <f t="shared" ref="S51:S86" si="11">IF(Q51&lt;5,"Sin Riesgo",IF(Q51 &lt;=14,"Bajo",IF(Q51&lt;=35,"Medio",IF(Q51&lt;=80,"Alto","Inviable Sanitariamente"))))</f>
        <v>Alto</v>
      </c>
      <c r="T51" s="151"/>
    </row>
    <row r="52" spans="1:23" s="116" customFormat="1" ht="32.1" customHeight="1">
      <c r="A52" s="404" t="s">
        <v>77</v>
      </c>
      <c r="B52" s="302" t="s">
        <v>3806</v>
      </c>
      <c r="C52" s="302" t="s">
        <v>3807</v>
      </c>
      <c r="D52" s="304">
        <v>75</v>
      </c>
      <c r="E52" s="445"/>
      <c r="F52" s="445"/>
      <c r="G52" s="445"/>
      <c r="H52" s="445"/>
      <c r="I52" s="445"/>
      <c r="J52" s="445">
        <v>82.09</v>
      </c>
      <c r="K52" s="445"/>
      <c r="L52" s="445"/>
      <c r="M52" s="445"/>
      <c r="N52" s="445">
        <v>82.1</v>
      </c>
      <c r="O52" s="445"/>
      <c r="P52" s="445"/>
      <c r="Q52" s="314">
        <f t="shared" si="9"/>
        <v>82.094999999999999</v>
      </c>
      <c r="R52" s="315" t="str">
        <f t="shared" si="10"/>
        <v>NO</v>
      </c>
      <c r="S52" s="316" t="str">
        <f t="shared" si="11"/>
        <v>Inviable Sanitariamente</v>
      </c>
      <c r="T52" s="151"/>
    </row>
    <row r="53" spans="1:23" s="116" customFormat="1" ht="32.1" customHeight="1">
      <c r="A53" s="404" t="s">
        <v>77</v>
      </c>
      <c r="B53" s="302" t="s">
        <v>3808</v>
      </c>
      <c r="C53" s="302" t="s">
        <v>274</v>
      </c>
      <c r="D53" s="304">
        <v>48</v>
      </c>
      <c r="E53" s="445"/>
      <c r="F53" s="445">
        <v>97.35</v>
      </c>
      <c r="G53" s="445"/>
      <c r="H53" s="48"/>
      <c r="I53" s="48"/>
      <c r="J53" s="48"/>
      <c r="K53" s="445"/>
      <c r="L53" s="445">
        <v>88.81</v>
      </c>
      <c r="M53" s="445"/>
      <c r="N53" s="445"/>
      <c r="O53" s="445"/>
      <c r="P53" s="445"/>
      <c r="Q53" s="314">
        <f t="shared" si="9"/>
        <v>93.08</v>
      </c>
      <c r="R53" s="315" t="str">
        <f t="shared" si="10"/>
        <v>NO</v>
      </c>
      <c r="S53" s="316" t="str">
        <f t="shared" si="11"/>
        <v>Inviable Sanitariamente</v>
      </c>
      <c r="T53" s="151"/>
    </row>
    <row r="54" spans="1:23" s="116" customFormat="1" ht="32.1" customHeight="1">
      <c r="A54" s="404" t="s">
        <v>77</v>
      </c>
      <c r="B54" s="302" t="s">
        <v>65</v>
      </c>
      <c r="C54" s="302" t="s">
        <v>275</v>
      </c>
      <c r="D54" s="304">
        <v>100</v>
      </c>
      <c r="E54" s="445"/>
      <c r="F54" s="445"/>
      <c r="G54" s="445"/>
      <c r="H54" s="445"/>
      <c r="I54" s="445">
        <v>65.569999999999993</v>
      </c>
      <c r="J54" s="48"/>
      <c r="K54" s="445"/>
      <c r="L54" s="445"/>
      <c r="M54" s="445"/>
      <c r="N54" s="445"/>
      <c r="O54" s="445">
        <v>82.1</v>
      </c>
      <c r="P54" s="445"/>
      <c r="Q54" s="314">
        <f t="shared" si="9"/>
        <v>73.834999999999994</v>
      </c>
      <c r="R54" s="315" t="str">
        <f t="shared" si="10"/>
        <v>NO</v>
      </c>
      <c r="S54" s="316" t="str">
        <f t="shared" si="11"/>
        <v>Alto</v>
      </c>
      <c r="T54" s="151"/>
    </row>
    <row r="55" spans="1:23" s="116" customFormat="1" ht="32.1" customHeight="1">
      <c r="A55" s="404" t="s">
        <v>77</v>
      </c>
      <c r="B55" s="302" t="s">
        <v>263</v>
      </c>
      <c r="C55" s="302" t="s">
        <v>276</v>
      </c>
      <c r="D55" s="304">
        <v>155</v>
      </c>
      <c r="E55" s="445"/>
      <c r="F55" s="445"/>
      <c r="G55" s="445"/>
      <c r="H55" s="445">
        <v>97.41</v>
      </c>
      <c r="I55" s="48"/>
      <c r="J55" s="48"/>
      <c r="K55" s="445"/>
      <c r="L55" s="445"/>
      <c r="M55" s="445">
        <v>22.4</v>
      </c>
      <c r="N55" s="445"/>
      <c r="O55" s="445"/>
      <c r="P55" s="445"/>
      <c r="Q55" s="314">
        <f t="shared" si="9"/>
        <v>59.905000000000001</v>
      </c>
      <c r="R55" s="315" t="str">
        <f t="shared" si="10"/>
        <v>NO</v>
      </c>
      <c r="S55" s="316" t="str">
        <f t="shared" si="11"/>
        <v>Alto</v>
      </c>
      <c r="T55" s="151"/>
    </row>
    <row r="56" spans="1:23" s="116" customFormat="1" ht="32.1" customHeight="1">
      <c r="A56" s="404" t="s">
        <v>77</v>
      </c>
      <c r="B56" s="302" t="s">
        <v>468</v>
      </c>
      <c r="C56" s="302" t="s">
        <v>3809</v>
      </c>
      <c r="D56" s="304">
        <v>60</v>
      </c>
      <c r="E56" s="48"/>
      <c r="F56" s="48"/>
      <c r="G56" s="48"/>
      <c r="H56" s="48"/>
      <c r="I56" s="48"/>
      <c r="J56" s="48"/>
      <c r="K56" s="445"/>
      <c r="L56" s="445">
        <v>82.9</v>
      </c>
      <c r="M56" s="445"/>
      <c r="N56" s="445"/>
      <c r="O56" s="445"/>
      <c r="P56" s="445"/>
      <c r="Q56" s="314">
        <f t="shared" si="9"/>
        <v>82.9</v>
      </c>
      <c r="R56" s="315" t="str">
        <f t="shared" si="10"/>
        <v>NO</v>
      </c>
      <c r="S56" s="316" t="str">
        <f t="shared" si="11"/>
        <v>Inviable Sanitariamente</v>
      </c>
      <c r="T56" s="151"/>
    </row>
    <row r="57" spans="1:23" s="116" customFormat="1" ht="32.1" customHeight="1">
      <c r="A57" s="404" t="s">
        <v>77</v>
      </c>
      <c r="B57" s="302" t="s">
        <v>66</v>
      </c>
      <c r="C57" s="302" t="s">
        <v>3810</v>
      </c>
      <c r="D57" s="304">
        <v>230</v>
      </c>
      <c r="E57" s="445"/>
      <c r="F57" s="445"/>
      <c r="G57" s="445">
        <v>95.08</v>
      </c>
      <c r="H57" s="445"/>
      <c r="I57" s="445"/>
      <c r="J57" s="48"/>
      <c r="K57" s="445"/>
      <c r="L57" s="445"/>
      <c r="M57" s="445">
        <v>86.57</v>
      </c>
      <c r="N57" s="445"/>
      <c r="O57" s="445"/>
      <c r="P57" s="445"/>
      <c r="Q57" s="314">
        <f t="shared" si="9"/>
        <v>90.824999999999989</v>
      </c>
      <c r="R57" s="315" t="str">
        <f t="shared" si="10"/>
        <v>NO</v>
      </c>
      <c r="S57" s="316" t="str">
        <f t="shared" si="11"/>
        <v>Inviable Sanitariamente</v>
      </c>
      <c r="T57" s="151"/>
    </row>
    <row r="58" spans="1:23" s="116" customFormat="1" ht="32.1" customHeight="1">
      <c r="A58" s="404" t="s">
        <v>77</v>
      </c>
      <c r="B58" s="302" t="s">
        <v>60</v>
      </c>
      <c r="C58" s="302" t="s">
        <v>277</v>
      </c>
      <c r="D58" s="304">
        <v>160</v>
      </c>
      <c r="E58" s="445"/>
      <c r="F58" s="445">
        <v>97.35</v>
      </c>
      <c r="G58" s="48"/>
      <c r="H58" s="48"/>
      <c r="I58" s="48"/>
      <c r="J58" s="48"/>
      <c r="K58" s="445"/>
      <c r="L58" s="445">
        <v>97.76</v>
      </c>
      <c r="M58" s="445"/>
      <c r="N58" s="445"/>
      <c r="O58" s="445"/>
      <c r="P58" s="445"/>
      <c r="Q58" s="314">
        <f t="shared" si="9"/>
        <v>97.555000000000007</v>
      </c>
      <c r="R58" s="315" t="str">
        <f t="shared" si="10"/>
        <v>NO</v>
      </c>
      <c r="S58" s="316" t="str">
        <f t="shared" si="11"/>
        <v>Inviable Sanitariamente</v>
      </c>
      <c r="T58" s="151"/>
    </row>
    <row r="59" spans="1:23" s="116" customFormat="1" ht="32.1" customHeight="1">
      <c r="A59" s="404" t="s">
        <v>77</v>
      </c>
      <c r="B59" s="302" t="s">
        <v>964</v>
      </c>
      <c r="C59" s="302" t="s">
        <v>3811</v>
      </c>
      <c r="D59" s="304">
        <v>72</v>
      </c>
      <c r="E59" s="445"/>
      <c r="F59" s="445"/>
      <c r="G59" s="445"/>
      <c r="H59" s="445">
        <v>70.489999999999995</v>
      </c>
      <c r="I59" s="48"/>
      <c r="J59" s="48"/>
      <c r="K59" s="445"/>
      <c r="L59" s="445">
        <v>82.1</v>
      </c>
      <c r="M59" s="445"/>
      <c r="N59" s="445"/>
      <c r="O59" s="445"/>
      <c r="P59" s="445"/>
      <c r="Q59" s="314">
        <f t="shared" si="9"/>
        <v>76.294999999999987</v>
      </c>
      <c r="R59" s="315" t="str">
        <f t="shared" si="10"/>
        <v>NO</v>
      </c>
      <c r="S59" s="316" t="str">
        <f t="shared" si="11"/>
        <v>Alto</v>
      </c>
      <c r="T59" s="151"/>
    </row>
    <row r="60" spans="1:23" s="116" customFormat="1" ht="32.1" customHeight="1">
      <c r="A60" s="404" t="s">
        <v>77</v>
      </c>
      <c r="B60" s="302" t="s">
        <v>2494</v>
      </c>
      <c r="C60" s="302" t="s">
        <v>3812</v>
      </c>
      <c r="D60" s="304">
        <v>145</v>
      </c>
      <c r="E60" s="445"/>
      <c r="F60" s="445"/>
      <c r="G60" s="445"/>
      <c r="H60" s="445">
        <v>65.569999999999993</v>
      </c>
      <c r="I60" s="48"/>
      <c r="J60" s="48"/>
      <c r="K60" s="445"/>
      <c r="L60" s="445">
        <v>82.1</v>
      </c>
      <c r="M60" s="445"/>
      <c r="N60" s="445"/>
      <c r="O60" s="445"/>
      <c r="P60" s="445"/>
      <c r="Q60" s="314">
        <f t="shared" si="9"/>
        <v>73.834999999999994</v>
      </c>
      <c r="R60" s="315" t="str">
        <f t="shared" si="10"/>
        <v>NO</v>
      </c>
      <c r="S60" s="316" t="str">
        <f t="shared" si="11"/>
        <v>Alto</v>
      </c>
      <c r="T60" s="151"/>
    </row>
    <row r="61" spans="1:23" s="116" customFormat="1" ht="32.1" customHeight="1">
      <c r="A61" s="562" t="s">
        <v>77</v>
      </c>
      <c r="B61" s="563" t="s">
        <v>3813</v>
      </c>
      <c r="C61" s="563" t="s">
        <v>3814</v>
      </c>
      <c r="D61" s="304">
        <v>9</v>
      </c>
      <c r="E61" s="48"/>
      <c r="F61" s="48"/>
      <c r="G61" s="48">
        <v>71</v>
      </c>
      <c r="H61" s="48"/>
      <c r="I61" s="48"/>
      <c r="J61" s="48"/>
      <c r="K61" s="48"/>
      <c r="L61" s="48"/>
      <c r="M61" s="48"/>
      <c r="N61" s="48"/>
      <c r="O61" s="48"/>
      <c r="P61" s="48"/>
      <c r="Q61" s="314">
        <f t="shared" si="9"/>
        <v>71</v>
      </c>
      <c r="R61" s="315" t="str">
        <f t="shared" si="10"/>
        <v>NO</v>
      </c>
      <c r="S61" s="316" t="str">
        <f t="shared" si="11"/>
        <v>Alto</v>
      </c>
      <c r="T61" s="151"/>
    </row>
    <row r="62" spans="1:23" s="116" customFormat="1" ht="32.1" customHeight="1">
      <c r="A62" s="404" t="s">
        <v>77</v>
      </c>
      <c r="B62" s="302" t="s">
        <v>4086</v>
      </c>
      <c r="C62" s="302" t="s">
        <v>4087</v>
      </c>
      <c r="D62" s="304">
        <v>69</v>
      </c>
      <c r="E62" s="322"/>
      <c r="F62" s="322"/>
      <c r="G62" s="322"/>
      <c r="H62" s="322"/>
      <c r="I62" s="322"/>
      <c r="J62" s="322">
        <v>0</v>
      </c>
      <c r="K62" s="445"/>
      <c r="L62" s="445"/>
      <c r="M62" s="445"/>
      <c r="N62" s="445"/>
      <c r="O62" s="445"/>
      <c r="P62" s="445">
        <v>0</v>
      </c>
      <c r="Q62" s="323">
        <f t="shared" si="9"/>
        <v>0</v>
      </c>
      <c r="R62" s="315" t="str">
        <f t="shared" si="10"/>
        <v>SI</v>
      </c>
      <c r="S62" s="316" t="str">
        <f t="shared" si="11"/>
        <v>Sin Riesgo</v>
      </c>
      <c r="T62" s="151"/>
    </row>
    <row r="63" spans="1:23" s="116" customFormat="1" ht="51.75" customHeight="1">
      <c r="A63" s="404" t="s">
        <v>77</v>
      </c>
      <c r="B63" s="302" t="s">
        <v>1028</v>
      </c>
      <c r="C63" s="302" t="s">
        <v>4062</v>
      </c>
      <c r="D63" s="304">
        <v>46</v>
      </c>
      <c r="E63" s="445"/>
      <c r="F63" s="445"/>
      <c r="G63" s="445">
        <v>53.1</v>
      </c>
      <c r="H63" s="322"/>
      <c r="I63" s="322"/>
      <c r="J63" s="322">
        <v>27.05</v>
      </c>
      <c r="K63" s="445"/>
      <c r="L63" s="445"/>
      <c r="M63" s="445"/>
      <c r="N63" s="445"/>
      <c r="O63" s="445">
        <v>26.87</v>
      </c>
      <c r="P63" s="445"/>
      <c r="Q63" s="323">
        <f t="shared" si="9"/>
        <v>35.673333333333339</v>
      </c>
      <c r="R63" s="315" t="str">
        <f t="shared" si="10"/>
        <v>NO</v>
      </c>
      <c r="S63" s="316" t="str">
        <f t="shared" si="11"/>
        <v>Alto</v>
      </c>
      <c r="T63" s="151"/>
    </row>
    <row r="64" spans="1:23" s="116" customFormat="1" ht="45" customHeight="1">
      <c r="A64" s="404" t="s">
        <v>77</v>
      </c>
      <c r="B64" s="302" t="s">
        <v>68</v>
      </c>
      <c r="C64" s="302" t="s">
        <v>4063</v>
      </c>
      <c r="D64" s="304">
        <v>46</v>
      </c>
      <c r="E64" s="445"/>
      <c r="F64" s="445"/>
      <c r="G64" s="445">
        <v>53.1</v>
      </c>
      <c r="H64" s="322"/>
      <c r="I64" s="322"/>
      <c r="J64" s="322">
        <v>24.59</v>
      </c>
      <c r="K64" s="445"/>
      <c r="L64" s="445"/>
      <c r="M64" s="445"/>
      <c r="N64" s="445"/>
      <c r="O64" s="445">
        <v>26.87</v>
      </c>
      <c r="P64" s="445"/>
      <c r="Q64" s="323">
        <f t="shared" si="9"/>
        <v>34.853333333333332</v>
      </c>
      <c r="R64" s="315" t="str">
        <f t="shared" si="10"/>
        <v>NO</v>
      </c>
      <c r="S64" s="316" t="str">
        <f t="shared" si="11"/>
        <v>Medio</v>
      </c>
      <c r="T64" s="151"/>
    </row>
    <row r="65" spans="1:20" s="116" customFormat="1" ht="32.1" customHeight="1">
      <c r="A65" s="404" t="s">
        <v>77</v>
      </c>
      <c r="B65" s="302" t="s">
        <v>68</v>
      </c>
      <c r="C65" s="302" t="s">
        <v>4068</v>
      </c>
      <c r="D65" s="304">
        <v>70</v>
      </c>
      <c r="E65" s="445"/>
      <c r="F65" s="445"/>
      <c r="G65" s="445"/>
      <c r="H65" s="445">
        <v>97.35</v>
      </c>
      <c r="I65" s="322"/>
      <c r="J65" s="322"/>
      <c r="K65" s="445"/>
      <c r="L65" s="445"/>
      <c r="M65" s="445"/>
      <c r="N65" s="445">
        <v>91.04</v>
      </c>
      <c r="O65" s="445"/>
      <c r="P65" s="445"/>
      <c r="Q65" s="323">
        <f t="shared" si="9"/>
        <v>94.194999999999993</v>
      </c>
      <c r="R65" s="315" t="str">
        <f t="shared" si="10"/>
        <v>NO</v>
      </c>
      <c r="S65" s="316" t="str">
        <f t="shared" si="11"/>
        <v>Inviable Sanitariamente</v>
      </c>
      <c r="T65" s="151"/>
    </row>
    <row r="66" spans="1:20" s="116" customFormat="1" ht="32.1" customHeight="1">
      <c r="A66" s="404" t="s">
        <v>77</v>
      </c>
      <c r="B66" s="302" t="s">
        <v>4078</v>
      </c>
      <c r="C66" s="302" t="s">
        <v>4079</v>
      </c>
      <c r="D66" s="446">
        <v>26</v>
      </c>
      <c r="E66" s="445"/>
      <c r="F66" s="445"/>
      <c r="G66" s="445">
        <v>72.95</v>
      </c>
      <c r="H66" s="322"/>
      <c r="I66" s="322"/>
      <c r="J66" s="322"/>
      <c r="K66" s="445"/>
      <c r="L66" s="445"/>
      <c r="M66" s="445"/>
      <c r="N66" s="445"/>
      <c r="O66" s="445">
        <v>64.180000000000007</v>
      </c>
      <c r="P66" s="445"/>
      <c r="Q66" s="323">
        <f t="shared" si="9"/>
        <v>68.564999999999998</v>
      </c>
      <c r="R66" s="315" t="str">
        <f t="shared" si="10"/>
        <v>NO</v>
      </c>
      <c r="S66" s="316" t="str">
        <f t="shared" si="11"/>
        <v>Alto</v>
      </c>
      <c r="T66" s="151"/>
    </row>
    <row r="67" spans="1:20" s="116" customFormat="1" ht="32.1" customHeight="1">
      <c r="A67" s="404" t="s">
        <v>77</v>
      </c>
      <c r="B67" s="302" t="s">
        <v>4080</v>
      </c>
      <c r="C67" s="302" t="s">
        <v>4079</v>
      </c>
      <c r="D67" s="446">
        <v>26</v>
      </c>
      <c r="E67" s="445"/>
      <c r="F67" s="445"/>
      <c r="G67" s="445">
        <v>95.08</v>
      </c>
      <c r="H67" s="322"/>
      <c r="I67" s="322"/>
      <c r="J67" s="322"/>
      <c r="K67" s="445"/>
      <c r="L67" s="445"/>
      <c r="M67" s="445"/>
      <c r="N67" s="445"/>
      <c r="O67" s="445">
        <v>64.180000000000007</v>
      </c>
      <c r="P67" s="445"/>
      <c r="Q67" s="323">
        <f t="shared" si="9"/>
        <v>79.63</v>
      </c>
      <c r="R67" s="315" t="str">
        <f t="shared" si="10"/>
        <v>NO</v>
      </c>
      <c r="S67" s="316" t="str">
        <f t="shared" si="11"/>
        <v>Alto</v>
      </c>
      <c r="T67" s="151"/>
    </row>
    <row r="68" spans="1:20" s="116" customFormat="1" ht="32.1" customHeight="1">
      <c r="A68" s="562" t="s">
        <v>77</v>
      </c>
      <c r="B68" s="563" t="s">
        <v>4085</v>
      </c>
      <c r="C68" s="563" t="s">
        <v>276</v>
      </c>
      <c r="D68" s="304">
        <v>151</v>
      </c>
      <c r="E68" s="322">
        <v>76.900000000000006</v>
      </c>
      <c r="F68" s="322"/>
      <c r="G68" s="322">
        <v>26.6</v>
      </c>
      <c r="H68" s="322"/>
      <c r="I68" s="322"/>
      <c r="J68" s="322">
        <v>21</v>
      </c>
      <c r="K68" s="322"/>
      <c r="L68" s="322"/>
      <c r="M68" s="322"/>
      <c r="N68" s="322"/>
      <c r="O68" s="322"/>
      <c r="P68" s="322"/>
      <c r="Q68" s="323">
        <f t="shared" si="9"/>
        <v>41.5</v>
      </c>
      <c r="R68" s="315" t="str">
        <f t="shared" si="10"/>
        <v>NO</v>
      </c>
      <c r="S68" s="316" t="str">
        <f t="shared" si="11"/>
        <v>Alto</v>
      </c>
      <c r="T68" s="151"/>
    </row>
    <row r="69" spans="1:20" s="116" customFormat="1" ht="32.1" customHeight="1">
      <c r="A69" s="404" t="s">
        <v>77</v>
      </c>
      <c r="B69" s="302" t="s">
        <v>1266</v>
      </c>
      <c r="C69" s="398" t="s">
        <v>4088</v>
      </c>
      <c r="D69" s="446">
        <v>28</v>
      </c>
      <c r="E69" s="445">
        <v>97.35</v>
      </c>
      <c r="F69" s="445"/>
      <c r="G69" s="445"/>
      <c r="H69" s="445"/>
      <c r="I69" s="322"/>
      <c r="J69" s="322">
        <v>97.54</v>
      </c>
      <c r="K69" s="445"/>
      <c r="L69" s="445"/>
      <c r="M69" s="445"/>
      <c r="N69" s="445"/>
      <c r="O69" s="445"/>
      <c r="P69" s="445"/>
      <c r="Q69" s="323">
        <f t="shared" si="9"/>
        <v>97.444999999999993</v>
      </c>
      <c r="R69" s="315" t="str">
        <f t="shared" si="10"/>
        <v>NO</v>
      </c>
      <c r="S69" s="316" t="str">
        <f t="shared" si="11"/>
        <v>Inviable Sanitariamente</v>
      </c>
      <c r="T69" s="151"/>
    </row>
    <row r="70" spans="1:20" s="116" customFormat="1" ht="32.1" customHeight="1">
      <c r="A70" s="404" t="s">
        <v>77</v>
      </c>
      <c r="B70" s="549" t="s">
        <v>4371</v>
      </c>
      <c r="C70" s="559" t="s">
        <v>4372</v>
      </c>
      <c r="D70" s="448">
        <v>86</v>
      </c>
      <c r="E70" s="445"/>
      <c r="F70" s="445"/>
      <c r="G70" s="445">
        <v>97.54</v>
      </c>
      <c r="H70" s="445"/>
      <c r="I70" s="445"/>
      <c r="J70" s="445"/>
      <c r="K70" s="445"/>
      <c r="L70" s="445"/>
      <c r="M70" s="445">
        <v>88.81</v>
      </c>
      <c r="N70" s="445"/>
      <c r="O70" s="445"/>
      <c r="P70" s="445"/>
      <c r="Q70" s="323">
        <f t="shared" si="9"/>
        <v>93.175000000000011</v>
      </c>
      <c r="R70" s="315" t="str">
        <f t="shared" si="10"/>
        <v>NO</v>
      </c>
      <c r="S70" s="316" t="str">
        <f t="shared" si="11"/>
        <v>Inviable Sanitariamente</v>
      </c>
      <c r="T70" s="151"/>
    </row>
    <row r="71" spans="1:20" s="116" customFormat="1" ht="32.1" customHeight="1">
      <c r="A71" s="404" t="s">
        <v>77</v>
      </c>
      <c r="B71" s="549" t="s">
        <v>4373</v>
      </c>
      <c r="C71" s="559" t="s">
        <v>4374</v>
      </c>
      <c r="D71" s="448">
        <v>105</v>
      </c>
      <c r="E71" s="445"/>
      <c r="F71" s="445"/>
      <c r="G71" s="445"/>
      <c r="H71" s="445"/>
      <c r="I71" s="445"/>
      <c r="J71" s="445">
        <v>97.54</v>
      </c>
      <c r="K71" s="445"/>
      <c r="L71" s="445"/>
      <c r="M71" s="445"/>
      <c r="N71" s="445"/>
      <c r="O71" s="445"/>
      <c r="P71" s="445"/>
      <c r="Q71" s="323">
        <f t="shared" si="9"/>
        <v>97.54</v>
      </c>
      <c r="R71" s="315" t="str">
        <f t="shared" si="10"/>
        <v>NO</v>
      </c>
      <c r="S71" s="316" t="str">
        <f t="shared" si="11"/>
        <v>Inviable Sanitariamente</v>
      </c>
      <c r="T71" s="151"/>
    </row>
    <row r="72" spans="1:20" s="116" customFormat="1" ht="32.1" customHeight="1">
      <c r="A72" s="404" t="s">
        <v>77</v>
      </c>
      <c r="B72" s="549" t="s">
        <v>53</v>
      </c>
      <c r="C72" s="559" t="s">
        <v>4375</v>
      </c>
      <c r="D72" s="448">
        <v>74</v>
      </c>
      <c r="E72" s="445"/>
      <c r="F72" s="445"/>
      <c r="G72" s="445"/>
      <c r="H72" s="445"/>
      <c r="I72" s="445">
        <v>65.599999999999994</v>
      </c>
      <c r="J72" s="445"/>
      <c r="K72" s="445"/>
      <c r="L72" s="445"/>
      <c r="M72" s="445"/>
      <c r="N72" s="445"/>
      <c r="O72" s="445">
        <v>59.7</v>
      </c>
      <c r="P72" s="445"/>
      <c r="Q72" s="323">
        <f t="shared" si="9"/>
        <v>62.65</v>
      </c>
      <c r="R72" s="315" t="str">
        <f t="shared" si="10"/>
        <v>NO</v>
      </c>
      <c r="S72" s="316" t="str">
        <f t="shared" si="11"/>
        <v>Alto</v>
      </c>
      <c r="T72" s="151"/>
    </row>
    <row r="73" spans="1:20" s="116" customFormat="1" ht="32.1" customHeight="1">
      <c r="A73" s="404" t="s">
        <v>77</v>
      </c>
      <c r="B73" s="549" t="s">
        <v>725</v>
      </c>
      <c r="C73" s="559" t="s">
        <v>4376</v>
      </c>
      <c r="D73" s="448">
        <v>836</v>
      </c>
      <c r="E73" s="445"/>
      <c r="F73" s="445"/>
      <c r="G73" s="445"/>
      <c r="H73" s="445"/>
      <c r="I73" s="445">
        <v>26.55</v>
      </c>
      <c r="J73" s="445"/>
      <c r="K73" s="445"/>
      <c r="L73" s="445"/>
      <c r="M73" s="445"/>
      <c r="N73" s="445"/>
      <c r="O73" s="445">
        <v>0</v>
      </c>
      <c r="P73" s="445"/>
      <c r="Q73" s="323">
        <f t="shared" si="9"/>
        <v>13.275</v>
      </c>
      <c r="R73" s="315" t="str">
        <f t="shared" si="10"/>
        <v>NO</v>
      </c>
      <c r="S73" s="316" t="str">
        <f t="shared" si="11"/>
        <v>Bajo</v>
      </c>
      <c r="T73" s="151"/>
    </row>
    <row r="74" spans="1:20" s="116" customFormat="1" ht="32.1" customHeight="1">
      <c r="A74" s="564" t="s">
        <v>78</v>
      </c>
      <c r="B74" s="565" t="s">
        <v>278</v>
      </c>
      <c r="C74" s="565" t="s">
        <v>279</v>
      </c>
      <c r="D74" s="304">
        <v>650</v>
      </c>
      <c r="E74" s="48"/>
      <c r="F74" s="48"/>
      <c r="G74" s="48"/>
      <c r="H74" s="48">
        <v>8.2799999999999994</v>
      </c>
      <c r="I74" s="48">
        <v>0</v>
      </c>
      <c r="J74" s="48"/>
      <c r="K74" s="48">
        <v>0</v>
      </c>
      <c r="L74" s="48">
        <v>0</v>
      </c>
      <c r="M74" s="48"/>
      <c r="N74" s="48"/>
      <c r="O74" s="48"/>
      <c r="P74" s="48"/>
      <c r="Q74" s="314">
        <f t="shared" si="9"/>
        <v>2.0699999999999998</v>
      </c>
      <c r="R74" s="315" t="str">
        <f t="shared" si="10"/>
        <v>SI</v>
      </c>
      <c r="S74" s="316" t="str">
        <f t="shared" si="11"/>
        <v>Sin Riesgo</v>
      </c>
      <c r="T74" s="151"/>
    </row>
    <row r="75" spans="1:20" s="116" customFormat="1" ht="32.1" customHeight="1">
      <c r="A75" s="564" t="s">
        <v>78</v>
      </c>
      <c r="B75" s="565" t="s">
        <v>74</v>
      </c>
      <c r="C75" s="565" t="s">
        <v>280</v>
      </c>
      <c r="D75" s="304">
        <v>300</v>
      </c>
      <c r="E75" s="48"/>
      <c r="F75" s="48"/>
      <c r="G75" s="48"/>
      <c r="H75" s="48"/>
      <c r="I75" s="48">
        <v>46.45</v>
      </c>
      <c r="J75" s="48"/>
      <c r="K75" s="48">
        <v>0</v>
      </c>
      <c r="L75" s="48">
        <v>0</v>
      </c>
      <c r="M75" s="48"/>
      <c r="N75" s="48"/>
      <c r="O75" s="48"/>
      <c r="P75" s="48"/>
      <c r="Q75" s="314">
        <f t="shared" si="9"/>
        <v>15.483333333333334</v>
      </c>
      <c r="R75" s="315" t="str">
        <f t="shared" si="10"/>
        <v>NO</v>
      </c>
      <c r="S75" s="316" t="str">
        <f t="shared" si="11"/>
        <v>Medio</v>
      </c>
      <c r="T75" s="151"/>
    </row>
    <row r="76" spans="1:20" s="116" customFormat="1" ht="32.1" customHeight="1">
      <c r="A76" s="564" t="s">
        <v>78</v>
      </c>
      <c r="B76" s="565" t="s">
        <v>3815</v>
      </c>
      <c r="C76" s="565" t="s">
        <v>3816</v>
      </c>
      <c r="D76" s="304">
        <v>187</v>
      </c>
      <c r="E76" s="48">
        <v>0</v>
      </c>
      <c r="F76" s="48">
        <v>0</v>
      </c>
      <c r="G76" s="48">
        <v>0</v>
      </c>
      <c r="H76" s="48">
        <v>16.850000000000001</v>
      </c>
      <c r="I76" s="48"/>
      <c r="J76" s="48"/>
      <c r="K76" s="48">
        <v>70.97</v>
      </c>
      <c r="L76" s="48"/>
      <c r="M76" s="48"/>
      <c r="N76" s="48"/>
      <c r="O76" s="48"/>
      <c r="P76" s="48"/>
      <c r="Q76" s="314">
        <f t="shared" si="9"/>
        <v>17.564</v>
      </c>
      <c r="R76" s="315" t="str">
        <f t="shared" si="10"/>
        <v>NO</v>
      </c>
      <c r="S76" s="316" t="str">
        <f t="shared" si="11"/>
        <v>Medio</v>
      </c>
      <c r="T76" s="151"/>
    </row>
    <row r="77" spans="1:20" s="116" customFormat="1" ht="32.1" customHeight="1">
      <c r="A77" s="564" t="s">
        <v>78</v>
      </c>
      <c r="B77" s="565" t="s">
        <v>75</v>
      </c>
      <c r="C77" s="565" t="s">
        <v>281</v>
      </c>
      <c r="D77" s="304">
        <v>398</v>
      </c>
      <c r="E77" s="48"/>
      <c r="F77" s="48"/>
      <c r="G77" s="48"/>
      <c r="H77" s="48">
        <v>70.22</v>
      </c>
      <c r="I77" s="48">
        <v>7.74</v>
      </c>
      <c r="J77" s="48"/>
      <c r="K77" s="48">
        <v>70.97</v>
      </c>
      <c r="L77" s="48">
        <v>0</v>
      </c>
      <c r="M77" s="48"/>
      <c r="N77" s="48"/>
      <c r="O77" s="48"/>
      <c r="P77" s="48"/>
      <c r="Q77" s="314">
        <f t="shared" si="9"/>
        <v>37.232500000000002</v>
      </c>
      <c r="R77" s="315" t="str">
        <f t="shared" si="10"/>
        <v>NO</v>
      </c>
      <c r="S77" s="316" t="str">
        <f t="shared" si="11"/>
        <v>Alto</v>
      </c>
      <c r="T77" s="151"/>
    </row>
    <row r="78" spans="1:20" s="116" customFormat="1" ht="32.1" customHeight="1">
      <c r="A78" s="564" t="s">
        <v>78</v>
      </c>
      <c r="B78" s="565" t="s">
        <v>68</v>
      </c>
      <c r="C78" s="565" t="s">
        <v>282</v>
      </c>
      <c r="D78" s="304">
        <v>210</v>
      </c>
      <c r="E78" s="48"/>
      <c r="F78" s="48"/>
      <c r="G78" s="48"/>
      <c r="H78" s="48">
        <v>48.39</v>
      </c>
      <c r="I78" s="48">
        <v>90.32</v>
      </c>
      <c r="J78" s="48"/>
      <c r="K78" s="48"/>
      <c r="L78" s="48"/>
      <c r="M78" s="48"/>
      <c r="N78" s="48"/>
      <c r="O78" s="48"/>
      <c r="P78" s="48"/>
      <c r="Q78" s="314">
        <f t="shared" si="9"/>
        <v>69.35499999999999</v>
      </c>
      <c r="R78" s="315" t="str">
        <f t="shared" si="10"/>
        <v>NO</v>
      </c>
      <c r="S78" s="316" t="str">
        <f t="shared" si="11"/>
        <v>Alto</v>
      </c>
      <c r="T78" s="151"/>
    </row>
    <row r="79" spans="1:20" s="116" customFormat="1" ht="32.1" customHeight="1">
      <c r="A79" s="564" t="s">
        <v>78</v>
      </c>
      <c r="B79" s="565" t="s">
        <v>12</v>
      </c>
      <c r="C79" s="565" t="s">
        <v>283</v>
      </c>
      <c r="D79" s="304">
        <v>290</v>
      </c>
      <c r="E79" s="48"/>
      <c r="F79" s="48"/>
      <c r="G79" s="48"/>
      <c r="H79" s="48">
        <v>27.1</v>
      </c>
      <c r="I79" s="48">
        <v>46.45</v>
      </c>
      <c r="J79" s="48"/>
      <c r="K79" s="48"/>
      <c r="L79" s="48"/>
      <c r="M79" s="48"/>
      <c r="N79" s="48"/>
      <c r="O79" s="48"/>
      <c r="P79" s="48"/>
      <c r="Q79" s="314">
        <f t="shared" si="9"/>
        <v>36.775000000000006</v>
      </c>
      <c r="R79" s="315" t="str">
        <f t="shared" si="10"/>
        <v>NO</v>
      </c>
      <c r="S79" s="316" t="str">
        <f t="shared" si="11"/>
        <v>Alto</v>
      </c>
      <c r="T79" s="151"/>
    </row>
    <row r="80" spans="1:20" s="116" customFormat="1" ht="32.1" customHeight="1">
      <c r="A80" s="564" t="s">
        <v>78</v>
      </c>
      <c r="B80" s="565" t="s">
        <v>290</v>
      </c>
      <c r="C80" s="565" t="s">
        <v>291</v>
      </c>
      <c r="D80" s="304">
        <v>126</v>
      </c>
      <c r="E80" s="48"/>
      <c r="F80" s="48"/>
      <c r="G80" s="48"/>
      <c r="H80" s="48">
        <v>0</v>
      </c>
      <c r="I80" s="48">
        <v>0</v>
      </c>
      <c r="J80" s="48"/>
      <c r="K80" s="48">
        <v>0</v>
      </c>
      <c r="L80" s="48">
        <v>0</v>
      </c>
      <c r="M80" s="48"/>
      <c r="N80" s="48"/>
      <c r="O80" s="48"/>
      <c r="P80" s="48"/>
      <c r="Q80" s="314">
        <f t="shared" si="9"/>
        <v>0</v>
      </c>
      <c r="R80" s="315" t="str">
        <f t="shared" si="10"/>
        <v>SI</v>
      </c>
      <c r="S80" s="316" t="str">
        <f t="shared" si="11"/>
        <v>Sin Riesgo</v>
      </c>
      <c r="T80" s="151"/>
    </row>
    <row r="81" spans="1:23" s="116" customFormat="1" ht="32.1" customHeight="1">
      <c r="A81" s="564" t="s">
        <v>78</v>
      </c>
      <c r="B81" s="565" t="s">
        <v>288</v>
      </c>
      <c r="C81" s="565" t="s">
        <v>289</v>
      </c>
      <c r="D81" s="304">
        <v>96</v>
      </c>
      <c r="E81" s="48"/>
      <c r="F81" s="48"/>
      <c r="G81" s="48">
        <v>0</v>
      </c>
      <c r="H81" s="48">
        <v>42.13</v>
      </c>
      <c r="I81" s="48"/>
      <c r="J81" s="48"/>
      <c r="K81" s="48"/>
      <c r="L81" s="48"/>
      <c r="M81" s="48"/>
      <c r="N81" s="48"/>
      <c r="O81" s="48"/>
      <c r="P81" s="48"/>
      <c r="Q81" s="314">
        <f t="shared" si="9"/>
        <v>21.065000000000001</v>
      </c>
      <c r="R81" s="315" t="str">
        <f t="shared" si="10"/>
        <v>NO</v>
      </c>
      <c r="S81" s="316" t="str">
        <f t="shared" si="11"/>
        <v>Medio</v>
      </c>
      <c r="T81" s="151"/>
    </row>
    <row r="82" spans="1:23" s="116" customFormat="1" ht="32.1" customHeight="1">
      <c r="A82" s="564" t="s">
        <v>78</v>
      </c>
      <c r="B82" s="565" t="s">
        <v>284</v>
      </c>
      <c r="C82" s="565" t="s">
        <v>285</v>
      </c>
      <c r="D82" s="304">
        <v>235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314"/>
      <c r="R82" s="315"/>
      <c r="S82" s="316"/>
    </row>
    <row r="83" spans="1:23" s="221" customFormat="1" ht="32.1" customHeight="1">
      <c r="A83" s="564" t="s">
        <v>78</v>
      </c>
      <c r="B83" s="565" t="s">
        <v>286</v>
      </c>
      <c r="C83" s="565" t="s">
        <v>287</v>
      </c>
      <c r="D83" s="304">
        <v>53</v>
      </c>
      <c r="E83" s="48"/>
      <c r="F83" s="48"/>
      <c r="G83" s="48"/>
      <c r="H83" s="48">
        <v>0</v>
      </c>
      <c r="I83" s="48"/>
      <c r="J83" s="48"/>
      <c r="K83" s="48">
        <v>0</v>
      </c>
      <c r="L83" s="48">
        <v>0</v>
      </c>
      <c r="M83" s="48"/>
      <c r="N83" s="48"/>
      <c r="O83" s="48"/>
      <c r="P83" s="48"/>
      <c r="Q83" s="314">
        <f t="shared" si="9"/>
        <v>0</v>
      </c>
      <c r="R83" s="315" t="str">
        <f t="shared" si="10"/>
        <v>SI</v>
      </c>
      <c r="S83" s="316" t="str">
        <f t="shared" si="11"/>
        <v>Sin Riesgo</v>
      </c>
      <c r="T83" s="116"/>
      <c r="U83" s="116"/>
      <c r="V83" s="116"/>
      <c r="W83" s="116"/>
    </row>
    <row r="84" spans="1:23" s="116" customFormat="1" ht="32.1" customHeight="1">
      <c r="A84" s="444" t="s">
        <v>103</v>
      </c>
      <c r="B84" s="302" t="s">
        <v>67</v>
      </c>
      <c r="C84" s="302" t="s">
        <v>3818</v>
      </c>
      <c r="D84" s="397">
        <v>180</v>
      </c>
      <c r="E84" s="47"/>
      <c r="F84" s="47"/>
      <c r="G84" s="47"/>
      <c r="H84" s="47"/>
      <c r="I84" s="47"/>
      <c r="J84" s="47">
        <f>56.338</f>
        <v>56.338000000000001</v>
      </c>
      <c r="K84" s="47"/>
      <c r="L84" s="47"/>
      <c r="M84" s="47"/>
      <c r="N84" s="47"/>
      <c r="O84" s="47"/>
      <c r="P84" s="47"/>
      <c r="Q84" s="314">
        <f t="shared" si="9"/>
        <v>56.338000000000001</v>
      </c>
      <c r="R84" s="315" t="str">
        <f t="shared" si="10"/>
        <v>NO</v>
      </c>
      <c r="S84" s="316" t="str">
        <f t="shared" si="11"/>
        <v>Alto</v>
      </c>
    </row>
    <row r="85" spans="1:23" s="116" customFormat="1" ht="32.1" customHeight="1">
      <c r="A85" s="444" t="s">
        <v>103</v>
      </c>
      <c r="B85" s="302" t="s">
        <v>3819</v>
      </c>
      <c r="C85" s="302" t="s">
        <v>294</v>
      </c>
      <c r="D85" s="397">
        <v>1111</v>
      </c>
      <c r="E85" s="47"/>
      <c r="F85" s="47"/>
      <c r="G85" s="47"/>
      <c r="H85" s="47"/>
      <c r="I85" s="47">
        <f>0</f>
        <v>0</v>
      </c>
      <c r="J85" s="47">
        <f>AVERAGE(48,21.1267)</f>
        <v>34.56335</v>
      </c>
      <c r="K85" s="47"/>
      <c r="L85" s="47"/>
      <c r="M85" s="47"/>
      <c r="N85" s="47"/>
      <c r="O85" s="47"/>
      <c r="P85" s="47"/>
      <c r="Q85" s="314">
        <f t="shared" si="9"/>
        <v>17.281675</v>
      </c>
      <c r="R85" s="315" t="str">
        <f t="shared" si="10"/>
        <v>NO</v>
      </c>
      <c r="S85" s="316" t="str">
        <f t="shared" si="11"/>
        <v>Medio</v>
      </c>
    </row>
    <row r="86" spans="1:23" s="116" customFormat="1" ht="32.1" customHeight="1">
      <c r="A86" s="566" t="s">
        <v>103</v>
      </c>
      <c r="B86" s="563" t="s">
        <v>3820</v>
      </c>
      <c r="C86" s="563" t="s">
        <v>3821</v>
      </c>
      <c r="D86" s="304">
        <v>70</v>
      </c>
      <c r="E86" s="48"/>
      <c r="F86" s="48"/>
      <c r="G86" s="48">
        <v>43.6</v>
      </c>
      <c r="H86" s="48"/>
      <c r="I86" s="48"/>
      <c r="J86" s="48"/>
      <c r="K86" s="48"/>
      <c r="L86" s="48"/>
      <c r="M86" s="48"/>
      <c r="N86" s="48">
        <v>71</v>
      </c>
      <c r="O86" s="48"/>
      <c r="P86" s="48"/>
      <c r="Q86" s="314">
        <f t="shared" si="9"/>
        <v>57.3</v>
      </c>
      <c r="R86" s="315" t="str">
        <f t="shared" si="10"/>
        <v>NO</v>
      </c>
      <c r="S86" s="316" t="str">
        <f t="shared" si="11"/>
        <v>Alto</v>
      </c>
    </row>
    <row r="87" spans="1:23" s="116" customFormat="1" ht="32.1" customHeight="1">
      <c r="A87" s="444" t="s">
        <v>103</v>
      </c>
      <c r="B87" s="302" t="s">
        <v>437</v>
      </c>
      <c r="C87" s="302" t="s">
        <v>296</v>
      </c>
      <c r="D87" s="397">
        <v>230</v>
      </c>
      <c r="E87" s="47"/>
      <c r="F87" s="47"/>
      <c r="G87" s="47"/>
      <c r="H87" s="47"/>
      <c r="I87" s="47"/>
      <c r="J87" s="47">
        <f>77.4647</f>
        <v>77.464699999999993</v>
      </c>
      <c r="K87" s="47"/>
      <c r="L87" s="47"/>
      <c r="M87" s="47"/>
      <c r="N87" s="47"/>
      <c r="O87" s="47"/>
      <c r="P87" s="47"/>
      <c r="Q87" s="314">
        <f t="shared" ref="Q87:Q119" si="12">AVERAGE(E87:P87)</f>
        <v>77.464699999999993</v>
      </c>
      <c r="R87" s="315" t="str">
        <f t="shared" ref="R87:R119" si="13">IF(Q87&lt;5,"SI","NO")</f>
        <v>NO</v>
      </c>
      <c r="S87" s="316" t="str">
        <f t="shared" ref="S87:S149" si="14">IF(Q87&lt;5,"Sin Riesgo",IF(Q87 &lt;=14,"Bajo",IF(Q87&lt;=35,"Medio",IF(Q87&lt;=80,"Alto","Inviable Sanitariamente"))))</f>
        <v>Alto</v>
      </c>
    </row>
    <row r="88" spans="1:23" s="116" customFormat="1" ht="42.75" customHeight="1">
      <c r="A88" s="444" t="s">
        <v>103</v>
      </c>
      <c r="B88" s="302" t="s">
        <v>3822</v>
      </c>
      <c r="C88" s="302" t="s">
        <v>297</v>
      </c>
      <c r="D88" s="397">
        <v>1352</v>
      </c>
      <c r="E88" s="47"/>
      <c r="F88" s="47"/>
      <c r="G88" s="47"/>
      <c r="H88" s="47"/>
      <c r="I88" s="47">
        <f>0</f>
        <v>0</v>
      </c>
      <c r="J88" s="47">
        <f>AVERAGE(0,48)</f>
        <v>24</v>
      </c>
      <c r="K88" s="47"/>
      <c r="L88" s="47"/>
      <c r="M88" s="47"/>
      <c r="N88" s="47"/>
      <c r="O88" s="47"/>
      <c r="P88" s="47"/>
      <c r="Q88" s="314">
        <f t="shared" si="12"/>
        <v>12</v>
      </c>
      <c r="R88" s="315" t="str">
        <f t="shared" si="13"/>
        <v>NO</v>
      </c>
      <c r="S88" s="316" t="str">
        <f t="shared" si="14"/>
        <v>Bajo</v>
      </c>
    </row>
    <row r="89" spans="1:23" s="116" customFormat="1" ht="32.1" customHeight="1">
      <c r="A89" s="444" t="s">
        <v>103</v>
      </c>
      <c r="B89" s="302" t="s">
        <v>435</v>
      </c>
      <c r="C89" s="302" t="s">
        <v>298</v>
      </c>
      <c r="D89" s="397">
        <v>177</v>
      </c>
      <c r="E89" s="47"/>
      <c r="F89" s="47"/>
      <c r="G89" s="47"/>
      <c r="H89" s="47"/>
      <c r="I89" s="47"/>
      <c r="J89" s="47">
        <f>77.4647</f>
        <v>77.464699999999993</v>
      </c>
      <c r="K89" s="47"/>
      <c r="L89" s="47"/>
      <c r="M89" s="47"/>
      <c r="N89" s="47"/>
      <c r="O89" s="47"/>
      <c r="P89" s="47"/>
      <c r="Q89" s="314">
        <f t="shared" si="12"/>
        <v>77.464699999999993</v>
      </c>
      <c r="R89" s="315" t="str">
        <f t="shared" si="13"/>
        <v>NO</v>
      </c>
      <c r="S89" s="316" t="str">
        <f t="shared" si="14"/>
        <v>Alto</v>
      </c>
    </row>
    <row r="90" spans="1:23" s="116" customFormat="1" ht="32.1" customHeight="1">
      <c r="A90" s="444" t="s">
        <v>103</v>
      </c>
      <c r="B90" s="302" t="s">
        <v>3823</v>
      </c>
      <c r="C90" s="302" t="s">
        <v>300</v>
      </c>
      <c r="D90" s="397">
        <v>161</v>
      </c>
      <c r="E90" s="47"/>
      <c r="F90" s="47"/>
      <c r="G90" s="47"/>
      <c r="H90" s="47"/>
      <c r="I90" s="47"/>
      <c r="J90" s="47">
        <f>77.4647</f>
        <v>77.464699999999993</v>
      </c>
      <c r="K90" s="47"/>
      <c r="L90" s="47"/>
      <c r="M90" s="47"/>
      <c r="N90" s="47"/>
      <c r="O90" s="47"/>
      <c r="P90" s="47"/>
      <c r="Q90" s="314">
        <f t="shared" si="12"/>
        <v>77.464699999999993</v>
      </c>
      <c r="R90" s="315" t="str">
        <f t="shared" si="13"/>
        <v>NO</v>
      </c>
      <c r="S90" s="316" t="str">
        <f t="shared" si="14"/>
        <v>Alto</v>
      </c>
    </row>
    <row r="91" spans="1:23" s="116" customFormat="1" ht="32.1" customHeight="1">
      <c r="A91" s="444" t="s">
        <v>103</v>
      </c>
      <c r="B91" s="302" t="s">
        <v>3824</v>
      </c>
      <c r="C91" s="302" t="s">
        <v>299</v>
      </c>
      <c r="D91" s="397">
        <v>352</v>
      </c>
      <c r="E91" s="47"/>
      <c r="F91" s="47"/>
      <c r="G91" s="47"/>
      <c r="H91" s="47"/>
      <c r="I91" s="47"/>
      <c r="J91" s="47">
        <f>77.4647</f>
        <v>77.464699999999993</v>
      </c>
      <c r="K91" s="47"/>
      <c r="L91" s="47"/>
      <c r="M91" s="47"/>
      <c r="N91" s="47"/>
      <c r="O91" s="47"/>
      <c r="P91" s="47"/>
      <c r="Q91" s="314">
        <f t="shared" si="12"/>
        <v>77.464699999999993</v>
      </c>
      <c r="R91" s="315" t="str">
        <f t="shared" si="13"/>
        <v>NO</v>
      </c>
      <c r="S91" s="316" t="str">
        <f t="shared" si="14"/>
        <v>Alto</v>
      </c>
    </row>
    <row r="92" spans="1:23" s="116" customFormat="1" ht="32.1" customHeight="1">
      <c r="A92" s="444" t="s">
        <v>103</v>
      </c>
      <c r="B92" s="302" t="s">
        <v>3825</v>
      </c>
      <c r="C92" s="302" t="s">
        <v>301</v>
      </c>
      <c r="D92" s="397">
        <v>108</v>
      </c>
      <c r="E92" s="47"/>
      <c r="F92" s="47"/>
      <c r="G92" s="47"/>
      <c r="H92" s="47"/>
      <c r="I92" s="47"/>
      <c r="J92" s="47">
        <f>77.4647</f>
        <v>77.464699999999993</v>
      </c>
      <c r="K92" s="47"/>
      <c r="L92" s="47"/>
      <c r="M92" s="47"/>
      <c r="N92" s="47"/>
      <c r="O92" s="47"/>
      <c r="P92" s="47"/>
      <c r="Q92" s="314">
        <f t="shared" si="12"/>
        <v>77.464699999999993</v>
      </c>
      <c r="R92" s="315" t="str">
        <f t="shared" si="13"/>
        <v>NO</v>
      </c>
      <c r="S92" s="316" t="str">
        <f t="shared" si="14"/>
        <v>Alto</v>
      </c>
    </row>
    <row r="93" spans="1:23" s="116" customFormat="1" ht="32.1" customHeight="1">
      <c r="A93" s="444" t="s">
        <v>103</v>
      </c>
      <c r="B93" s="302" t="s">
        <v>436</v>
      </c>
      <c r="C93" s="302" t="s">
        <v>302</v>
      </c>
      <c r="D93" s="397">
        <v>375</v>
      </c>
      <c r="E93" s="47"/>
      <c r="F93" s="47"/>
      <c r="G93" s="47"/>
      <c r="H93" s="47"/>
      <c r="I93" s="47"/>
      <c r="J93" s="47">
        <f>85.9154</f>
        <v>85.915400000000005</v>
      </c>
      <c r="K93" s="47"/>
      <c r="L93" s="47"/>
      <c r="M93" s="47"/>
      <c r="N93" s="47"/>
      <c r="O93" s="47"/>
      <c r="P93" s="47"/>
      <c r="Q93" s="314">
        <f t="shared" si="12"/>
        <v>85.915400000000005</v>
      </c>
      <c r="R93" s="315" t="str">
        <f t="shared" si="13"/>
        <v>NO</v>
      </c>
      <c r="S93" s="316" t="str">
        <f t="shared" si="14"/>
        <v>Inviable Sanitariamente</v>
      </c>
    </row>
    <row r="94" spans="1:23" s="116" customFormat="1" ht="32.1" customHeight="1">
      <c r="A94" s="444" t="s">
        <v>103</v>
      </c>
      <c r="B94" s="302" t="s">
        <v>438</v>
      </c>
      <c r="C94" s="302" t="s">
        <v>303</v>
      </c>
      <c r="D94" s="397">
        <v>300</v>
      </c>
      <c r="E94" s="47"/>
      <c r="F94" s="47"/>
      <c r="G94" s="47"/>
      <c r="H94" s="47"/>
      <c r="I94" s="47"/>
      <c r="J94" s="47">
        <f>77.4647</f>
        <v>77.464699999999993</v>
      </c>
      <c r="K94" s="47"/>
      <c r="L94" s="47"/>
      <c r="M94" s="47"/>
      <c r="N94" s="47"/>
      <c r="O94" s="47"/>
      <c r="P94" s="47"/>
      <c r="Q94" s="314">
        <f t="shared" si="12"/>
        <v>77.464699999999993</v>
      </c>
      <c r="R94" s="315" t="str">
        <f t="shared" si="13"/>
        <v>NO</v>
      </c>
      <c r="S94" s="316" t="str">
        <f t="shared" si="14"/>
        <v>Alto</v>
      </c>
    </row>
    <row r="95" spans="1:23" s="116" customFormat="1" ht="32.1" customHeight="1">
      <c r="A95" s="444" t="s">
        <v>103</v>
      </c>
      <c r="B95" s="302" t="s">
        <v>20</v>
      </c>
      <c r="C95" s="302" t="s">
        <v>304</v>
      </c>
      <c r="D95" s="399">
        <v>130</v>
      </c>
      <c r="E95" s="47"/>
      <c r="F95" s="47"/>
      <c r="G95" s="47"/>
      <c r="H95" s="47"/>
      <c r="I95" s="47"/>
      <c r="J95" s="47">
        <v>77.464699999999993</v>
      </c>
      <c r="K95" s="47"/>
      <c r="L95" s="47"/>
      <c r="M95" s="47"/>
      <c r="N95" s="47"/>
      <c r="O95" s="47"/>
      <c r="P95" s="47"/>
      <c r="Q95" s="314">
        <f t="shared" si="12"/>
        <v>77.464699999999993</v>
      </c>
      <c r="R95" s="315" t="str">
        <f t="shared" si="13"/>
        <v>NO</v>
      </c>
      <c r="S95" s="316" t="str">
        <f t="shared" si="14"/>
        <v>Alto</v>
      </c>
    </row>
    <row r="96" spans="1:23" s="116" customFormat="1" ht="32.1" customHeight="1">
      <c r="A96" s="444" t="s">
        <v>103</v>
      </c>
      <c r="B96" s="302" t="s">
        <v>472</v>
      </c>
      <c r="C96" s="302" t="s">
        <v>305</v>
      </c>
      <c r="D96" s="399">
        <v>36</v>
      </c>
      <c r="E96" s="47"/>
      <c r="F96" s="47"/>
      <c r="G96" s="47"/>
      <c r="H96" s="47"/>
      <c r="I96" s="47"/>
      <c r="J96" s="47">
        <f>77.4647</f>
        <v>77.464699999999993</v>
      </c>
      <c r="K96" s="47"/>
      <c r="L96" s="47"/>
      <c r="M96" s="47"/>
      <c r="N96" s="47"/>
      <c r="O96" s="47"/>
      <c r="P96" s="47"/>
      <c r="Q96" s="314">
        <f t="shared" si="12"/>
        <v>77.464699999999993</v>
      </c>
      <c r="R96" s="315" t="str">
        <f t="shared" si="13"/>
        <v>NO</v>
      </c>
      <c r="S96" s="316" t="str">
        <f t="shared" si="14"/>
        <v>Alto</v>
      </c>
    </row>
    <row r="97" spans="1:19" s="116" customFormat="1" ht="32.1" customHeight="1">
      <c r="A97" s="444" t="s">
        <v>103</v>
      </c>
      <c r="B97" s="302" t="s">
        <v>3826</v>
      </c>
      <c r="C97" s="302" t="s">
        <v>306</v>
      </c>
      <c r="D97" s="399">
        <v>50</v>
      </c>
      <c r="E97" s="47"/>
      <c r="F97" s="47"/>
      <c r="G97" s="47"/>
      <c r="H97" s="47"/>
      <c r="I97" s="47"/>
      <c r="J97" s="47">
        <f>56.338</f>
        <v>56.338000000000001</v>
      </c>
      <c r="K97" s="47"/>
      <c r="L97" s="47"/>
      <c r="M97" s="47"/>
      <c r="N97" s="47"/>
      <c r="O97" s="47"/>
      <c r="P97" s="47"/>
      <c r="Q97" s="314">
        <f t="shared" si="12"/>
        <v>56.338000000000001</v>
      </c>
      <c r="R97" s="315" t="str">
        <f t="shared" si="13"/>
        <v>NO</v>
      </c>
      <c r="S97" s="316" t="str">
        <f t="shared" si="14"/>
        <v>Alto</v>
      </c>
    </row>
    <row r="98" spans="1:19" s="116" customFormat="1" ht="32.1" customHeight="1">
      <c r="A98" s="444" t="s">
        <v>103</v>
      </c>
      <c r="B98" s="302" t="s">
        <v>76</v>
      </c>
      <c r="C98" s="302" t="s">
        <v>307</v>
      </c>
      <c r="D98" s="399">
        <v>458</v>
      </c>
      <c r="E98" s="47"/>
      <c r="F98" s="47"/>
      <c r="G98" s="47"/>
      <c r="H98" s="47"/>
      <c r="I98" s="47">
        <f>0</f>
        <v>0</v>
      </c>
      <c r="J98" s="47">
        <f>AVERAGE(0,0)</f>
        <v>0</v>
      </c>
      <c r="K98" s="47"/>
      <c r="L98" s="47"/>
      <c r="M98" s="47"/>
      <c r="N98" s="47"/>
      <c r="O98" s="47"/>
      <c r="P98" s="47"/>
      <c r="Q98" s="314">
        <f t="shared" si="12"/>
        <v>0</v>
      </c>
      <c r="R98" s="315" t="str">
        <f t="shared" si="13"/>
        <v>SI</v>
      </c>
      <c r="S98" s="316" t="str">
        <f t="shared" si="14"/>
        <v>Sin Riesgo</v>
      </c>
    </row>
    <row r="99" spans="1:19" s="116" customFormat="1" ht="32.1" customHeight="1">
      <c r="A99" s="444" t="s">
        <v>103</v>
      </c>
      <c r="B99" s="302" t="s">
        <v>439</v>
      </c>
      <c r="C99" s="302" t="s">
        <v>308</v>
      </c>
      <c r="D99" s="399">
        <v>490</v>
      </c>
      <c r="E99" s="47"/>
      <c r="F99" s="47"/>
      <c r="G99" s="47"/>
      <c r="H99" s="47"/>
      <c r="I99" s="47">
        <f>0</f>
        <v>0</v>
      </c>
      <c r="J99" s="47">
        <f>AVERAGE(24,0)</f>
        <v>12</v>
      </c>
      <c r="K99" s="47"/>
      <c r="L99" s="47"/>
      <c r="M99" s="47"/>
      <c r="N99" s="47"/>
      <c r="O99" s="47"/>
      <c r="P99" s="47"/>
      <c r="Q99" s="314">
        <f t="shared" si="12"/>
        <v>6</v>
      </c>
      <c r="R99" s="315" t="str">
        <f t="shared" si="13"/>
        <v>NO</v>
      </c>
      <c r="S99" s="316" t="str">
        <f t="shared" si="14"/>
        <v>Bajo</v>
      </c>
    </row>
    <row r="100" spans="1:19" s="116" customFormat="1" ht="32.1" customHeight="1">
      <c r="A100" s="444" t="s">
        <v>103</v>
      </c>
      <c r="B100" s="302" t="s">
        <v>3827</v>
      </c>
      <c r="C100" s="302" t="s">
        <v>3828</v>
      </c>
      <c r="D100" s="399">
        <v>60</v>
      </c>
      <c r="E100" s="47"/>
      <c r="F100" s="47"/>
      <c r="G100" s="47"/>
      <c r="H100" s="47"/>
      <c r="I100" s="47"/>
      <c r="J100" s="47">
        <f>77.4647</f>
        <v>77.464699999999993</v>
      </c>
      <c r="K100" s="47"/>
      <c r="L100" s="47"/>
      <c r="M100" s="47"/>
      <c r="N100" s="47"/>
      <c r="O100" s="47"/>
      <c r="P100" s="47"/>
      <c r="Q100" s="314">
        <f t="shared" si="12"/>
        <v>77.464699999999993</v>
      </c>
      <c r="R100" s="315" t="str">
        <f t="shared" si="13"/>
        <v>NO</v>
      </c>
      <c r="S100" s="316" t="str">
        <f t="shared" si="14"/>
        <v>Alto</v>
      </c>
    </row>
    <row r="101" spans="1:19" s="116" customFormat="1" ht="32.1" customHeight="1">
      <c r="A101" s="444" t="s">
        <v>103</v>
      </c>
      <c r="B101" s="302" t="s">
        <v>3829</v>
      </c>
      <c r="C101" s="302" t="s">
        <v>295</v>
      </c>
      <c r="D101" s="399">
        <v>50</v>
      </c>
      <c r="E101" s="47"/>
      <c r="F101" s="47"/>
      <c r="G101" s="47"/>
      <c r="H101" s="47"/>
      <c r="I101" s="47"/>
      <c r="J101" s="47">
        <f>85.9154</f>
        <v>85.915400000000005</v>
      </c>
      <c r="K101" s="47"/>
      <c r="L101" s="47"/>
      <c r="M101" s="47"/>
      <c r="N101" s="47"/>
      <c r="O101" s="47"/>
      <c r="P101" s="47"/>
      <c r="Q101" s="314">
        <f t="shared" si="12"/>
        <v>85.915400000000005</v>
      </c>
      <c r="R101" s="315" t="str">
        <f t="shared" si="13"/>
        <v>NO</v>
      </c>
      <c r="S101" s="316" t="str">
        <f t="shared" si="14"/>
        <v>Inviable Sanitariamente</v>
      </c>
    </row>
    <row r="102" spans="1:19" s="116" customFormat="1" ht="32.1" customHeight="1">
      <c r="A102" s="444" t="s">
        <v>103</v>
      </c>
      <c r="B102" s="302" t="s">
        <v>440</v>
      </c>
      <c r="C102" s="302" t="s">
        <v>3830</v>
      </c>
      <c r="D102" s="399">
        <v>458</v>
      </c>
      <c r="E102" s="47"/>
      <c r="F102" s="47"/>
      <c r="G102" s="47"/>
      <c r="H102" s="47"/>
      <c r="I102" s="47">
        <f>77.4647</f>
        <v>77.464699999999993</v>
      </c>
      <c r="J102" s="47">
        <f>AVERAGE(73.6,21.1267)</f>
        <v>47.363349999999997</v>
      </c>
      <c r="K102" s="47"/>
      <c r="L102" s="47"/>
      <c r="M102" s="47"/>
      <c r="N102" s="47"/>
      <c r="O102" s="47"/>
      <c r="P102" s="47"/>
      <c r="Q102" s="314">
        <f t="shared" si="12"/>
        <v>62.414024999999995</v>
      </c>
      <c r="R102" s="315" t="str">
        <f t="shared" si="13"/>
        <v>NO</v>
      </c>
      <c r="S102" s="316" t="str">
        <f t="shared" si="14"/>
        <v>Alto</v>
      </c>
    </row>
    <row r="103" spans="1:19" s="116" customFormat="1" ht="32.1" customHeight="1">
      <c r="A103" s="444" t="s">
        <v>104</v>
      </c>
      <c r="B103" s="302" t="s">
        <v>3969</v>
      </c>
      <c r="C103" s="302" t="s">
        <v>3970</v>
      </c>
      <c r="D103" s="346">
        <v>348</v>
      </c>
      <c r="E103" s="47"/>
      <c r="F103" s="47"/>
      <c r="G103" s="47"/>
      <c r="H103" s="47"/>
      <c r="I103" s="47"/>
      <c r="J103" s="47">
        <v>17.600000000000001</v>
      </c>
      <c r="K103" s="47"/>
      <c r="L103" s="47"/>
      <c r="M103" s="47">
        <v>0</v>
      </c>
      <c r="N103" s="47"/>
      <c r="O103" s="47"/>
      <c r="P103" s="47"/>
      <c r="Q103" s="449">
        <f t="shared" si="12"/>
        <v>8.8000000000000007</v>
      </c>
      <c r="R103" s="450" t="str">
        <f t="shared" si="13"/>
        <v>NO</v>
      </c>
      <c r="S103" s="451" t="str">
        <f t="shared" si="14"/>
        <v>Bajo</v>
      </c>
    </row>
    <row r="104" spans="1:19" s="116" customFormat="1" ht="32.1" customHeight="1">
      <c r="A104" s="404" t="s">
        <v>104</v>
      </c>
      <c r="B104" s="302" t="s">
        <v>4093</v>
      </c>
      <c r="C104" s="302" t="s">
        <v>4094</v>
      </c>
      <c r="D104" s="346">
        <v>510</v>
      </c>
      <c r="E104" s="47"/>
      <c r="F104" s="47"/>
      <c r="G104" s="47"/>
      <c r="H104" s="47"/>
      <c r="I104" s="47"/>
      <c r="J104" s="47">
        <v>0</v>
      </c>
      <c r="K104" s="47"/>
      <c r="L104" s="47"/>
      <c r="M104" s="47">
        <v>0</v>
      </c>
      <c r="N104" s="47"/>
      <c r="O104" s="47"/>
      <c r="P104" s="47"/>
      <c r="Q104" s="314">
        <f t="shared" si="12"/>
        <v>0</v>
      </c>
      <c r="R104" s="315" t="str">
        <f t="shared" si="13"/>
        <v>SI</v>
      </c>
      <c r="S104" s="316" t="str">
        <f t="shared" si="14"/>
        <v>Sin Riesgo</v>
      </c>
    </row>
    <row r="105" spans="1:19" s="116" customFormat="1" ht="32.1" customHeight="1">
      <c r="A105" s="404" t="s">
        <v>104</v>
      </c>
      <c r="B105" s="302" t="s">
        <v>4095</v>
      </c>
      <c r="C105" s="302" t="s">
        <v>4096</v>
      </c>
      <c r="D105" s="346">
        <v>130</v>
      </c>
      <c r="E105" s="47"/>
      <c r="F105" s="47"/>
      <c r="G105" s="47"/>
      <c r="H105" s="47"/>
      <c r="I105" s="47"/>
      <c r="J105" s="47">
        <v>9.09</v>
      </c>
      <c r="K105" s="47"/>
      <c r="L105" s="47"/>
      <c r="M105" s="47">
        <v>89.4</v>
      </c>
      <c r="N105" s="47"/>
      <c r="O105" s="47"/>
      <c r="P105" s="47"/>
      <c r="Q105" s="314">
        <f t="shared" si="12"/>
        <v>49.245000000000005</v>
      </c>
      <c r="R105" s="315" t="str">
        <f t="shared" si="13"/>
        <v>NO</v>
      </c>
      <c r="S105" s="316" t="str">
        <f t="shared" si="14"/>
        <v>Alto</v>
      </c>
    </row>
    <row r="106" spans="1:19" s="116" customFormat="1" ht="32.1" customHeight="1">
      <c r="A106" s="404" t="s">
        <v>104</v>
      </c>
      <c r="B106" s="302" t="s">
        <v>4097</v>
      </c>
      <c r="C106" s="302" t="s">
        <v>4098</v>
      </c>
      <c r="D106" s="346">
        <v>230</v>
      </c>
      <c r="E106" s="47"/>
      <c r="F106" s="47"/>
      <c r="G106" s="47"/>
      <c r="H106" s="47"/>
      <c r="I106" s="47"/>
      <c r="J106" s="47">
        <v>0</v>
      </c>
      <c r="K106" s="47"/>
      <c r="L106" s="47"/>
      <c r="M106" s="47">
        <v>24.7</v>
      </c>
      <c r="N106" s="47"/>
      <c r="O106" s="47"/>
      <c r="P106" s="47"/>
      <c r="Q106" s="314">
        <f t="shared" si="12"/>
        <v>12.35</v>
      </c>
      <c r="R106" s="315" t="str">
        <f t="shared" si="13"/>
        <v>NO</v>
      </c>
      <c r="S106" s="316" t="str">
        <f t="shared" si="14"/>
        <v>Bajo</v>
      </c>
    </row>
    <row r="107" spans="1:19" s="116" customFormat="1" ht="32.1" customHeight="1">
      <c r="A107" s="404" t="s">
        <v>104</v>
      </c>
      <c r="B107" s="302" t="s">
        <v>4099</v>
      </c>
      <c r="C107" s="302" t="s">
        <v>4100</v>
      </c>
      <c r="D107" s="346">
        <v>81</v>
      </c>
      <c r="E107" s="47"/>
      <c r="F107" s="47"/>
      <c r="G107" s="47"/>
      <c r="H107" s="47"/>
      <c r="I107" s="47"/>
      <c r="J107" s="47">
        <v>0</v>
      </c>
      <c r="K107" s="47"/>
      <c r="L107" s="47"/>
      <c r="M107" s="47">
        <v>64.709999999999994</v>
      </c>
      <c r="N107" s="47"/>
      <c r="O107" s="47"/>
      <c r="P107" s="47"/>
      <c r="Q107" s="314">
        <f t="shared" si="12"/>
        <v>32.354999999999997</v>
      </c>
      <c r="R107" s="315" t="str">
        <f t="shared" si="13"/>
        <v>NO</v>
      </c>
      <c r="S107" s="316" t="str">
        <f t="shared" si="14"/>
        <v>Medio</v>
      </c>
    </row>
    <row r="108" spans="1:19" s="116" customFormat="1" ht="32.1" customHeight="1">
      <c r="A108" s="404" t="s">
        <v>104</v>
      </c>
      <c r="B108" s="302" t="s">
        <v>4101</v>
      </c>
      <c r="C108" s="302" t="s">
        <v>4102</v>
      </c>
      <c r="D108" s="346">
        <v>132</v>
      </c>
      <c r="E108" s="47"/>
      <c r="F108" s="47"/>
      <c r="G108" s="47"/>
      <c r="H108" s="47"/>
      <c r="I108" s="47"/>
      <c r="J108" s="47">
        <v>45.45</v>
      </c>
      <c r="K108" s="47"/>
      <c r="L108" s="47"/>
      <c r="M108" s="47">
        <v>17.64</v>
      </c>
      <c r="N108" s="47"/>
      <c r="O108" s="47"/>
      <c r="P108" s="47"/>
      <c r="Q108" s="314">
        <f t="shared" si="12"/>
        <v>31.545000000000002</v>
      </c>
      <c r="R108" s="315" t="str">
        <f t="shared" si="13"/>
        <v>NO</v>
      </c>
      <c r="S108" s="316" t="str">
        <f t="shared" si="14"/>
        <v>Medio</v>
      </c>
    </row>
    <row r="109" spans="1:19" s="116" customFormat="1" ht="32.1" customHeight="1">
      <c r="A109" s="404" t="s">
        <v>104</v>
      </c>
      <c r="B109" s="302" t="s">
        <v>4103</v>
      </c>
      <c r="C109" s="302" t="s">
        <v>4104</v>
      </c>
      <c r="D109" s="346">
        <v>702</v>
      </c>
      <c r="E109" s="47"/>
      <c r="F109" s="47"/>
      <c r="G109" s="47"/>
      <c r="H109" s="47"/>
      <c r="I109" s="47"/>
      <c r="J109" s="47">
        <v>0</v>
      </c>
      <c r="K109" s="47"/>
      <c r="L109" s="47"/>
      <c r="M109" s="47">
        <v>35</v>
      </c>
      <c r="N109" s="47"/>
      <c r="O109" s="47"/>
      <c r="P109" s="47"/>
      <c r="Q109" s="314">
        <f t="shared" si="12"/>
        <v>17.5</v>
      </c>
      <c r="R109" s="315" t="str">
        <f t="shared" si="13"/>
        <v>NO</v>
      </c>
      <c r="S109" s="316" t="str">
        <f t="shared" si="14"/>
        <v>Medio</v>
      </c>
    </row>
    <row r="110" spans="1:19" s="116" customFormat="1" ht="32.1" customHeight="1">
      <c r="A110" s="404" t="s">
        <v>104</v>
      </c>
      <c r="B110" s="302" t="s">
        <v>86</v>
      </c>
      <c r="C110" s="302" t="s">
        <v>4105</v>
      </c>
      <c r="D110" s="399">
        <v>70</v>
      </c>
      <c r="E110" s="47"/>
      <c r="F110" s="47"/>
      <c r="G110" s="47"/>
      <c r="H110" s="47"/>
      <c r="I110" s="47"/>
      <c r="J110" s="47">
        <v>45.45</v>
      </c>
      <c r="K110" s="47"/>
      <c r="L110" s="47"/>
      <c r="M110" s="47">
        <v>60</v>
      </c>
      <c r="N110" s="47"/>
      <c r="O110" s="47"/>
      <c r="P110" s="47"/>
      <c r="Q110" s="314">
        <f t="shared" si="12"/>
        <v>52.725000000000001</v>
      </c>
      <c r="R110" s="315" t="str">
        <f t="shared" si="13"/>
        <v>NO</v>
      </c>
      <c r="S110" s="316" t="str">
        <f t="shared" si="14"/>
        <v>Alto</v>
      </c>
    </row>
    <row r="111" spans="1:19" s="116" customFormat="1" ht="32.1" customHeight="1">
      <c r="A111" s="404" t="s">
        <v>104</v>
      </c>
      <c r="B111" s="302" t="s">
        <v>4106</v>
      </c>
      <c r="C111" s="302" t="s">
        <v>4107</v>
      </c>
      <c r="D111" s="346">
        <v>98</v>
      </c>
      <c r="E111" s="47"/>
      <c r="F111" s="47"/>
      <c r="G111" s="47"/>
      <c r="H111" s="47"/>
      <c r="I111" s="47"/>
      <c r="J111" s="47">
        <v>0</v>
      </c>
      <c r="K111" s="47"/>
      <c r="L111" s="47"/>
      <c r="M111" s="47">
        <v>17.64</v>
      </c>
      <c r="N111" s="47"/>
      <c r="O111" s="47"/>
      <c r="P111" s="47"/>
      <c r="Q111" s="314">
        <f t="shared" si="12"/>
        <v>8.82</v>
      </c>
      <c r="R111" s="315" t="str">
        <f t="shared" si="13"/>
        <v>NO</v>
      </c>
      <c r="S111" s="316" t="str">
        <f t="shared" si="14"/>
        <v>Bajo</v>
      </c>
    </row>
    <row r="112" spans="1:19" s="116" customFormat="1" ht="32.1" customHeight="1">
      <c r="A112" s="404" t="s">
        <v>104</v>
      </c>
      <c r="B112" s="302" t="s">
        <v>4108</v>
      </c>
      <c r="C112" s="302" t="s">
        <v>4109</v>
      </c>
      <c r="D112" s="346">
        <v>132</v>
      </c>
      <c r="E112" s="47"/>
      <c r="F112" s="47"/>
      <c r="G112" s="47"/>
      <c r="H112" s="47"/>
      <c r="I112" s="47"/>
      <c r="J112" s="47">
        <v>0</v>
      </c>
      <c r="K112" s="47"/>
      <c r="L112" s="47"/>
      <c r="M112" s="47">
        <v>17.64</v>
      </c>
      <c r="N112" s="47"/>
      <c r="O112" s="47"/>
      <c r="P112" s="47"/>
      <c r="Q112" s="314">
        <f t="shared" si="12"/>
        <v>8.82</v>
      </c>
      <c r="R112" s="315" t="str">
        <f t="shared" si="13"/>
        <v>NO</v>
      </c>
      <c r="S112" s="316" t="str">
        <f t="shared" si="14"/>
        <v>Bajo</v>
      </c>
    </row>
    <row r="113" spans="1:19" s="116" customFormat="1" ht="32.1" customHeight="1">
      <c r="A113" s="404" t="s">
        <v>104</v>
      </c>
      <c r="B113" s="302" t="s">
        <v>49</v>
      </c>
      <c r="C113" s="302" t="s">
        <v>4110</v>
      </c>
      <c r="D113" s="399">
        <v>88</v>
      </c>
      <c r="E113" s="47"/>
      <c r="F113" s="47"/>
      <c r="G113" s="47"/>
      <c r="H113" s="47"/>
      <c r="I113" s="47"/>
      <c r="J113" s="47">
        <v>35.299999999999997</v>
      </c>
      <c r="K113" s="47"/>
      <c r="L113" s="47"/>
      <c r="M113" s="47"/>
      <c r="N113" s="47">
        <v>17.649999999999999</v>
      </c>
      <c r="O113" s="47"/>
      <c r="P113" s="47"/>
      <c r="Q113" s="314">
        <f t="shared" si="12"/>
        <v>26.474999999999998</v>
      </c>
      <c r="R113" s="315" t="str">
        <f t="shared" si="13"/>
        <v>NO</v>
      </c>
      <c r="S113" s="316" t="str">
        <f t="shared" si="14"/>
        <v>Medio</v>
      </c>
    </row>
    <row r="114" spans="1:19" s="116" customFormat="1" ht="32.1" customHeight="1">
      <c r="A114" s="404" t="s">
        <v>104</v>
      </c>
      <c r="B114" s="302" t="s">
        <v>4111</v>
      </c>
      <c r="C114" s="302" t="s">
        <v>4112</v>
      </c>
      <c r="D114" s="346">
        <v>440</v>
      </c>
      <c r="E114" s="47"/>
      <c r="F114" s="47"/>
      <c r="G114" s="47"/>
      <c r="H114" s="47"/>
      <c r="I114" s="47"/>
      <c r="J114" s="47">
        <v>9.09</v>
      </c>
      <c r="K114" s="47"/>
      <c r="L114" s="47"/>
      <c r="M114" s="47">
        <v>17.64</v>
      </c>
      <c r="N114" s="47"/>
      <c r="O114" s="47"/>
      <c r="P114" s="47"/>
      <c r="Q114" s="314">
        <f t="shared" si="12"/>
        <v>13.365</v>
      </c>
      <c r="R114" s="315" t="str">
        <f t="shared" si="13"/>
        <v>NO</v>
      </c>
      <c r="S114" s="316" t="str">
        <f t="shared" si="14"/>
        <v>Bajo</v>
      </c>
    </row>
    <row r="115" spans="1:19" s="116" customFormat="1" ht="32.1" customHeight="1">
      <c r="A115" s="404" t="s">
        <v>104</v>
      </c>
      <c r="B115" s="302" t="s">
        <v>4113</v>
      </c>
      <c r="C115" s="302" t="s">
        <v>4114</v>
      </c>
      <c r="D115" s="346">
        <v>1302</v>
      </c>
      <c r="E115" s="47"/>
      <c r="F115" s="47"/>
      <c r="G115" s="47"/>
      <c r="H115" s="47"/>
      <c r="I115" s="47"/>
      <c r="J115" s="47">
        <v>27.27</v>
      </c>
      <c r="K115" s="47"/>
      <c r="L115" s="47"/>
      <c r="M115" s="47">
        <v>17.64</v>
      </c>
      <c r="N115" s="47"/>
      <c r="O115" s="47"/>
      <c r="P115" s="47"/>
      <c r="Q115" s="314">
        <f t="shared" si="12"/>
        <v>22.454999999999998</v>
      </c>
      <c r="R115" s="315" t="str">
        <f t="shared" si="13"/>
        <v>NO</v>
      </c>
      <c r="S115" s="316" t="str">
        <f t="shared" si="14"/>
        <v>Medio</v>
      </c>
    </row>
    <row r="116" spans="1:19" s="116" customFormat="1" ht="32.1" customHeight="1">
      <c r="A116" s="404" t="s">
        <v>104</v>
      </c>
      <c r="B116" s="302" t="s">
        <v>4115</v>
      </c>
      <c r="C116" s="302" t="s">
        <v>4116</v>
      </c>
      <c r="D116" s="399">
        <v>170</v>
      </c>
      <c r="E116" s="47"/>
      <c r="F116" s="47"/>
      <c r="G116" s="47"/>
      <c r="H116" s="47"/>
      <c r="I116" s="47"/>
      <c r="J116" s="47">
        <v>36.36</v>
      </c>
      <c r="K116" s="47"/>
      <c r="L116" s="47"/>
      <c r="M116" s="47">
        <v>42.35</v>
      </c>
      <c r="N116" s="47"/>
      <c r="O116" s="47"/>
      <c r="P116" s="47"/>
      <c r="Q116" s="314">
        <f t="shared" si="12"/>
        <v>39.355000000000004</v>
      </c>
      <c r="R116" s="315" t="str">
        <f t="shared" si="13"/>
        <v>NO</v>
      </c>
      <c r="S116" s="316" t="str">
        <f t="shared" si="14"/>
        <v>Alto</v>
      </c>
    </row>
    <row r="117" spans="1:19" s="116" customFormat="1" ht="32.1" customHeight="1">
      <c r="A117" s="404" t="s">
        <v>104</v>
      </c>
      <c r="B117" s="302" t="s">
        <v>441</v>
      </c>
      <c r="C117" s="302" t="s">
        <v>4117</v>
      </c>
      <c r="D117" s="346">
        <v>365</v>
      </c>
      <c r="E117" s="47"/>
      <c r="F117" s="47"/>
      <c r="G117" s="47"/>
      <c r="H117" s="47"/>
      <c r="I117" s="47"/>
      <c r="J117" s="47">
        <v>35.299999999999997</v>
      </c>
      <c r="K117" s="47"/>
      <c r="L117" s="47"/>
      <c r="M117" s="47">
        <v>0</v>
      </c>
      <c r="N117" s="47"/>
      <c r="O117" s="47"/>
      <c r="P117" s="47"/>
      <c r="Q117" s="314">
        <f t="shared" si="12"/>
        <v>17.649999999999999</v>
      </c>
      <c r="R117" s="315" t="str">
        <f t="shared" si="13"/>
        <v>NO</v>
      </c>
      <c r="S117" s="316" t="str">
        <f t="shared" si="14"/>
        <v>Medio</v>
      </c>
    </row>
    <row r="118" spans="1:19" s="116" customFormat="1" ht="32.1" customHeight="1">
      <c r="A118" s="404" t="s">
        <v>104</v>
      </c>
      <c r="B118" s="302" t="s">
        <v>648</v>
      </c>
      <c r="C118" s="302" t="s">
        <v>4118</v>
      </c>
      <c r="D118" s="346">
        <v>303</v>
      </c>
      <c r="E118" s="47"/>
      <c r="F118" s="47"/>
      <c r="G118" s="47"/>
      <c r="H118" s="47"/>
      <c r="I118" s="47"/>
      <c r="J118" s="47">
        <v>0</v>
      </c>
      <c r="K118" s="47"/>
      <c r="L118" s="47"/>
      <c r="M118" s="47">
        <v>17.64</v>
      </c>
      <c r="N118" s="47"/>
      <c r="O118" s="47"/>
      <c r="P118" s="47"/>
      <c r="Q118" s="314">
        <f t="shared" si="12"/>
        <v>8.82</v>
      </c>
      <c r="R118" s="315" t="str">
        <f t="shared" si="13"/>
        <v>NO</v>
      </c>
      <c r="S118" s="316" t="str">
        <f t="shared" si="14"/>
        <v>Bajo</v>
      </c>
    </row>
    <row r="119" spans="1:19" s="116" customFormat="1" ht="32.1" customHeight="1">
      <c r="A119" s="404" t="s">
        <v>104</v>
      </c>
      <c r="B119" s="302" t="s">
        <v>4119</v>
      </c>
      <c r="C119" s="302" t="s">
        <v>4120</v>
      </c>
      <c r="D119" s="346">
        <v>70</v>
      </c>
      <c r="E119" s="47"/>
      <c r="F119" s="47"/>
      <c r="G119" s="47"/>
      <c r="H119" s="47"/>
      <c r="I119" s="47"/>
      <c r="J119" s="47">
        <v>36.36</v>
      </c>
      <c r="K119" s="47"/>
      <c r="L119" s="47"/>
      <c r="M119" s="47">
        <v>42.35</v>
      </c>
      <c r="N119" s="47"/>
      <c r="O119" s="47"/>
      <c r="P119" s="47"/>
      <c r="Q119" s="314">
        <f t="shared" si="12"/>
        <v>39.355000000000004</v>
      </c>
      <c r="R119" s="315" t="str">
        <f t="shared" si="13"/>
        <v>NO</v>
      </c>
      <c r="S119" s="316" t="str">
        <f t="shared" si="14"/>
        <v>Alto</v>
      </c>
    </row>
    <row r="120" spans="1:19" s="116" customFormat="1" ht="32.1" customHeight="1">
      <c r="A120" s="404" t="s">
        <v>104</v>
      </c>
      <c r="B120" s="302" t="s">
        <v>4121</v>
      </c>
      <c r="C120" s="302" t="s">
        <v>4122</v>
      </c>
      <c r="D120" s="346">
        <v>30</v>
      </c>
      <c r="E120" s="47"/>
      <c r="F120" s="47"/>
      <c r="G120" s="47"/>
      <c r="H120" s="47"/>
      <c r="I120" s="47"/>
      <c r="J120" s="47">
        <v>17.600000000000001</v>
      </c>
      <c r="K120" s="47"/>
      <c r="L120" s="47"/>
      <c r="M120" s="47">
        <v>24.71</v>
      </c>
      <c r="N120" s="47"/>
      <c r="O120" s="47"/>
      <c r="P120" s="47"/>
      <c r="Q120" s="314">
        <f t="shared" ref="Q120:Q150" si="15">AVERAGE(E120:P120)</f>
        <v>21.155000000000001</v>
      </c>
      <c r="R120" s="315" t="str">
        <f t="shared" ref="R120:R149" si="16">IF(Q120&lt;5,"SI","NO")</f>
        <v>NO</v>
      </c>
      <c r="S120" s="316" t="str">
        <f t="shared" si="14"/>
        <v>Medio</v>
      </c>
    </row>
    <row r="121" spans="1:19" s="116" customFormat="1" ht="32.1" customHeight="1">
      <c r="A121" s="404" t="s">
        <v>104</v>
      </c>
      <c r="B121" s="302" t="s">
        <v>4123</v>
      </c>
      <c r="C121" s="302" t="s">
        <v>4124</v>
      </c>
      <c r="D121" s="346">
        <v>32</v>
      </c>
      <c r="E121" s="47"/>
      <c r="F121" s="47"/>
      <c r="G121" s="47"/>
      <c r="H121" s="47"/>
      <c r="I121" s="47"/>
      <c r="J121" s="47">
        <v>89.4</v>
      </c>
      <c r="K121" s="47"/>
      <c r="L121" s="47"/>
      <c r="M121" s="47">
        <v>82.35</v>
      </c>
      <c r="N121" s="47"/>
      <c r="O121" s="47"/>
      <c r="P121" s="47"/>
      <c r="Q121" s="325">
        <f t="shared" si="15"/>
        <v>85.875</v>
      </c>
      <c r="R121" s="315" t="str">
        <f t="shared" si="16"/>
        <v>NO</v>
      </c>
      <c r="S121" s="316" t="str">
        <f t="shared" si="14"/>
        <v>Inviable Sanitariamente</v>
      </c>
    </row>
    <row r="122" spans="1:19" s="116" customFormat="1" ht="32.1" customHeight="1">
      <c r="A122" s="566" t="s">
        <v>106</v>
      </c>
      <c r="B122" s="566" t="s">
        <v>3831</v>
      </c>
      <c r="C122" s="566" t="s">
        <v>3832</v>
      </c>
      <c r="D122" s="304">
        <v>12</v>
      </c>
      <c r="E122" s="48"/>
      <c r="F122" s="48"/>
      <c r="G122" s="48"/>
      <c r="H122" s="48"/>
      <c r="I122" s="48"/>
      <c r="J122" s="48"/>
      <c r="K122" s="527"/>
      <c r="L122" s="48">
        <v>17.399999999999999</v>
      </c>
      <c r="M122" s="48">
        <v>49</v>
      </c>
      <c r="N122" s="48">
        <v>34.799999999999997</v>
      </c>
      <c r="O122" s="48"/>
      <c r="P122" s="48"/>
      <c r="Q122" s="314">
        <f t="shared" si="15"/>
        <v>33.733333333333334</v>
      </c>
      <c r="R122" s="315" t="str">
        <f t="shared" si="16"/>
        <v>NO</v>
      </c>
      <c r="S122" s="316" t="str">
        <f t="shared" si="14"/>
        <v>Medio</v>
      </c>
    </row>
    <row r="123" spans="1:19" s="116" customFormat="1" ht="32.1" customHeight="1">
      <c r="A123" s="444" t="s">
        <v>106</v>
      </c>
      <c r="B123" s="326" t="s">
        <v>3831</v>
      </c>
      <c r="C123" s="327" t="s">
        <v>3833</v>
      </c>
      <c r="D123" s="346">
        <v>19</v>
      </c>
      <c r="E123" s="47"/>
      <c r="F123" s="47"/>
      <c r="G123" s="47"/>
      <c r="H123" s="47"/>
      <c r="I123" s="47"/>
      <c r="J123" s="47"/>
      <c r="K123" s="528">
        <v>9.67</v>
      </c>
      <c r="L123" s="407"/>
      <c r="M123" s="407">
        <v>9.1999999999999993</v>
      </c>
      <c r="N123" s="407"/>
      <c r="O123" s="407">
        <v>6.4</v>
      </c>
      <c r="P123" s="407"/>
      <c r="Q123" s="314">
        <f t="shared" si="15"/>
        <v>8.423333333333332</v>
      </c>
      <c r="R123" s="315" t="str">
        <f t="shared" si="16"/>
        <v>NO</v>
      </c>
      <c r="S123" s="316" t="str">
        <f t="shared" si="14"/>
        <v>Bajo</v>
      </c>
    </row>
    <row r="124" spans="1:19" s="116" customFormat="1" ht="32.1" customHeight="1">
      <c r="A124" s="444" t="s">
        <v>106</v>
      </c>
      <c r="B124" s="326" t="s">
        <v>3834</v>
      </c>
      <c r="C124" s="326" t="s">
        <v>3834</v>
      </c>
      <c r="D124" s="346">
        <v>63</v>
      </c>
      <c r="E124" s="47"/>
      <c r="F124" s="47"/>
      <c r="G124" s="47"/>
      <c r="H124" s="47"/>
      <c r="I124" s="47"/>
      <c r="J124" s="47"/>
      <c r="K124" s="528"/>
      <c r="L124" s="407">
        <v>0</v>
      </c>
      <c r="M124" s="407"/>
      <c r="N124" s="407">
        <v>0</v>
      </c>
      <c r="O124" s="407"/>
      <c r="P124" s="407"/>
      <c r="Q124" s="314">
        <f t="shared" si="15"/>
        <v>0</v>
      </c>
      <c r="R124" s="315" t="str">
        <f t="shared" si="16"/>
        <v>SI</v>
      </c>
      <c r="S124" s="316" t="str">
        <f t="shared" si="14"/>
        <v>Sin Riesgo</v>
      </c>
    </row>
    <row r="125" spans="1:19" s="116" customFormat="1" ht="32.1" customHeight="1">
      <c r="A125" s="444" t="s">
        <v>106</v>
      </c>
      <c r="B125" s="326" t="s">
        <v>3835</v>
      </c>
      <c r="C125" s="326" t="s">
        <v>4125</v>
      </c>
      <c r="D125" s="346">
        <v>171</v>
      </c>
      <c r="E125" s="47"/>
      <c r="F125" s="47"/>
      <c r="G125" s="47"/>
      <c r="H125" s="47"/>
      <c r="I125" s="47"/>
      <c r="J125" s="47"/>
      <c r="K125" s="528"/>
      <c r="L125" s="407">
        <v>30.6</v>
      </c>
      <c r="M125" s="407"/>
      <c r="N125" s="407">
        <v>0</v>
      </c>
      <c r="O125" s="407"/>
      <c r="P125" s="407"/>
      <c r="Q125" s="314">
        <f t="shared" si="15"/>
        <v>15.3</v>
      </c>
      <c r="R125" s="315" t="str">
        <f t="shared" si="16"/>
        <v>NO</v>
      </c>
      <c r="S125" s="316" t="str">
        <f t="shared" si="14"/>
        <v>Medio</v>
      </c>
    </row>
    <row r="126" spans="1:19" s="116" customFormat="1" ht="32.1" customHeight="1">
      <c r="A126" s="444" t="s">
        <v>106</v>
      </c>
      <c r="B126" s="326" t="s">
        <v>3836</v>
      </c>
      <c r="C126" s="327" t="s">
        <v>4126</v>
      </c>
      <c r="D126" s="346">
        <v>244</v>
      </c>
      <c r="E126" s="47"/>
      <c r="F126" s="47"/>
      <c r="G126" s="47"/>
      <c r="H126" s="47"/>
      <c r="I126" s="47"/>
      <c r="J126" s="47"/>
      <c r="K126" s="528"/>
      <c r="L126" s="407">
        <v>0</v>
      </c>
      <c r="M126" s="407"/>
      <c r="N126" s="407">
        <v>1.62</v>
      </c>
      <c r="O126" s="407"/>
      <c r="P126" s="407"/>
      <c r="Q126" s="314">
        <f t="shared" si="15"/>
        <v>0.81</v>
      </c>
      <c r="R126" s="315" t="str">
        <f t="shared" si="16"/>
        <v>SI</v>
      </c>
      <c r="S126" s="316" t="str">
        <f t="shared" si="14"/>
        <v>Sin Riesgo</v>
      </c>
    </row>
    <row r="127" spans="1:19" s="116" customFormat="1" ht="32.1" customHeight="1">
      <c r="A127" s="444" t="s">
        <v>106</v>
      </c>
      <c r="B127" s="326" t="s">
        <v>3837</v>
      </c>
      <c r="C127" s="327" t="s">
        <v>3838</v>
      </c>
      <c r="D127" s="346">
        <v>940</v>
      </c>
      <c r="E127" s="47"/>
      <c r="F127" s="47"/>
      <c r="G127" s="47"/>
      <c r="H127" s="47"/>
      <c r="I127" s="47"/>
      <c r="J127" s="47"/>
      <c r="K127" s="528">
        <v>19.350000000000001</v>
      </c>
      <c r="L127" s="407">
        <v>0</v>
      </c>
      <c r="M127" s="407">
        <v>32.25</v>
      </c>
      <c r="N127" s="407">
        <v>0</v>
      </c>
      <c r="O127" s="407">
        <v>0</v>
      </c>
      <c r="P127" s="407"/>
      <c r="Q127" s="314">
        <f t="shared" si="15"/>
        <v>10.32</v>
      </c>
      <c r="R127" s="315" t="str">
        <f t="shared" si="16"/>
        <v>NO</v>
      </c>
      <c r="S127" s="316" t="str">
        <f t="shared" si="14"/>
        <v>Bajo</v>
      </c>
    </row>
    <row r="128" spans="1:19" s="116" customFormat="1" ht="32.1" customHeight="1">
      <c r="A128" s="444" t="s">
        <v>106</v>
      </c>
      <c r="B128" s="326" t="s">
        <v>471</v>
      </c>
      <c r="C128" s="326" t="s">
        <v>471</v>
      </c>
      <c r="D128" s="399">
        <v>313</v>
      </c>
      <c r="E128" s="47"/>
      <c r="F128" s="47"/>
      <c r="G128" s="47"/>
      <c r="H128" s="47"/>
      <c r="I128" s="47"/>
      <c r="J128" s="47"/>
      <c r="K128" s="528"/>
      <c r="L128" s="407">
        <v>0</v>
      </c>
      <c r="M128" s="407"/>
      <c r="N128" s="407">
        <v>0</v>
      </c>
      <c r="O128" s="407"/>
      <c r="P128" s="407"/>
      <c r="Q128" s="314">
        <f>AVERAGE(E128:P128)</f>
        <v>0</v>
      </c>
      <c r="R128" s="315" t="str">
        <f>IF(Q128&lt;5,"SI","NO")</f>
        <v>SI</v>
      </c>
      <c r="S128" s="316" t="str">
        <f>IF(Q128&lt;5,"Sin Riesgo",IF(Q128 &lt;=14,"Bajo",IF(Q128&lt;=35,"Medio",IF(Q128&lt;=80,"Alto","Inviable Sanitariamente"))))</f>
        <v>Sin Riesgo</v>
      </c>
    </row>
    <row r="129" spans="1:19" s="116" customFormat="1" ht="32.1" customHeight="1">
      <c r="A129" s="444" t="s">
        <v>106</v>
      </c>
      <c r="B129" s="326" t="s">
        <v>3839</v>
      </c>
      <c r="C129" s="326" t="s">
        <v>3840</v>
      </c>
      <c r="D129" s="346">
        <v>375</v>
      </c>
      <c r="E129" s="47"/>
      <c r="F129" s="47"/>
      <c r="G129" s="47"/>
      <c r="H129" s="47"/>
      <c r="I129" s="47"/>
      <c r="J129" s="47"/>
      <c r="K129" s="528"/>
      <c r="L129" s="407">
        <v>0</v>
      </c>
      <c r="M129" s="407"/>
      <c r="N129" s="407">
        <v>0</v>
      </c>
      <c r="O129" s="407"/>
      <c r="P129" s="407"/>
      <c r="Q129" s="314">
        <f t="shared" si="15"/>
        <v>0</v>
      </c>
      <c r="R129" s="315" t="str">
        <f t="shared" si="16"/>
        <v>SI</v>
      </c>
      <c r="S129" s="316" t="str">
        <f t="shared" si="14"/>
        <v>Sin Riesgo</v>
      </c>
    </row>
    <row r="130" spans="1:19" s="116" customFormat="1" ht="32.1" customHeight="1">
      <c r="A130" s="444" t="s">
        <v>106</v>
      </c>
      <c r="B130" s="326" t="s">
        <v>3841</v>
      </c>
      <c r="C130" s="327" t="s">
        <v>3842</v>
      </c>
      <c r="D130" s="346">
        <v>232</v>
      </c>
      <c r="E130" s="47"/>
      <c r="F130" s="47"/>
      <c r="G130" s="47"/>
      <c r="H130" s="47"/>
      <c r="I130" s="47"/>
      <c r="J130" s="47"/>
      <c r="K130" s="528">
        <v>19.350000000000001</v>
      </c>
      <c r="L130" s="407"/>
      <c r="M130" s="407">
        <v>25.76</v>
      </c>
      <c r="N130" s="407"/>
      <c r="O130" s="407">
        <v>0</v>
      </c>
      <c r="P130" s="407"/>
      <c r="Q130" s="314">
        <f t="shared" si="15"/>
        <v>15.036666666666667</v>
      </c>
      <c r="R130" s="315" t="str">
        <f t="shared" si="16"/>
        <v>NO</v>
      </c>
      <c r="S130" s="316" t="str">
        <f t="shared" si="14"/>
        <v>Medio</v>
      </c>
    </row>
    <row r="131" spans="1:19" s="116" customFormat="1" ht="32.1" customHeight="1">
      <c r="A131" s="444" t="s">
        <v>106</v>
      </c>
      <c r="B131" s="326" t="s">
        <v>3841</v>
      </c>
      <c r="C131" s="327" t="s">
        <v>3843</v>
      </c>
      <c r="D131" s="399">
        <v>150</v>
      </c>
      <c r="E131" s="47"/>
      <c r="F131" s="47"/>
      <c r="G131" s="47"/>
      <c r="H131" s="47"/>
      <c r="I131" s="47"/>
      <c r="J131" s="47"/>
      <c r="K131" s="528">
        <v>9.67</v>
      </c>
      <c r="L131" s="407"/>
      <c r="M131" s="407">
        <v>18.600000000000001</v>
      </c>
      <c r="N131" s="407"/>
      <c r="O131" s="407">
        <v>49.46</v>
      </c>
      <c r="P131" s="407"/>
      <c r="Q131" s="314">
        <f t="shared" si="15"/>
        <v>25.91</v>
      </c>
      <c r="R131" s="315" t="str">
        <f t="shared" si="16"/>
        <v>NO</v>
      </c>
      <c r="S131" s="316" t="str">
        <f t="shared" si="14"/>
        <v>Medio</v>
      </c>
    </row>
    <row r="132" spans="1:19" s="116" customFormat="1" ht="32.1" customHeight="1">
      <c r="A132" s="444" t="s">
        <v>106</v>
      </c>
      <c r="B132" s="326" t="s">
        <v>725</v>
      </c>
      <c r="C132" s="327" t="s">
        <v>3844</v>
      </c>
      <c r="D132" s="346">
        <v>435</v>
      </c>
      <c r="E132" s="47"/>
      <c r="F132" s="47"/>
      <c r="G132" s="47"/>
      <c r="H132" s="47"/>
      <c r="I132" s="47"/>
      <c r="J132" s="47"/>
      <c r="K132" s="528">
        <v>19.350000000000001</v>
      </c>
      <c r="L132" s="407"/>
      <c r="M132" s="407">
        <v>0</v>
      </c>
      <c r="N132" s="407"/>
      <c r="O132" s="407">
        <v>0</v>
      </c>
      <c r="P132" s="407"/>
      <c r="Q132" s="314">
        <f t="shared" si="15"/>
        <v>6.45</v>
      </c>
      <c r="R132" s="315" t="str">
        <f t="shared" si="16"/>
        <v>NO</v>
      </c>
      <c r="S132" s="316" t="str">
        <f t="shared" si="14"/>
        <v>Bajo</v>
      </c>
    </row>
    <row r="133" spans="1:19" s="116" customFormat="1" ht="32.1" customHeight="1">
      <c r="A133" s="444" t="s">
        <v>106</v>
      </c>
      <c r="B133" s="326" t="s">
        <v>3845</v>
      </c>
      <c r="C133" s="327" t="s">
        <v>3846</v>
      </c>
      <c r="D133" s="346">
        <v>1886</v>
      </c>
      <c r="E133" s="47"/>
      <c r="F133" s="47"/>
      <c r="G133" s="47"/>
      <c r="H133" s="47"/>
      <c r="I133" s="47"/>
      <c r="J133" s="47"/>
      <c r="K133" s="528">
        <v>0</v>
      </c>
      <c r="L133" s="407">
        <v>0</v>
      </c>
      <c r="M133" s="407">
        <v>0</v>
      </c>
      <c r="N133" s="407">
        <v>0</v>
      </c>
      <c r="O133" s="407">
        <v>0</v>
      </c>
      <c r="P133" s="407"/>
      <c r="Q133" s="314">
        <f t="shared" si="15"/>
        <v>0</v>
      </c>
      <c r="R133" s="315" t="str">
        <f t="shared" si="16"/>
        <v>SI</v>
      </c>
      <c r="S133" s="316" t="str">
        <f t="shared" si="14"/>
        <v>Sin Riesgo</v>
      </c>
    </row>
    <row r="134" spans="1:19" s="116" customFormat="1" ht="32.1" customHeight="1">
      <c r="A134" s="444" t="s">
        <v>106</v>
      </c>
      <c r="B134" s="326" t="s">
        <v>4127</v>
      </c>
      <c r="C134" s="327" t="s">
        <v>4128</v>
      </c>
      <c r="D134" s="399">
        <v>143</v>
      </c>
      <c r="E134" s="47"/>
      <c r="F134" s="47"/>
      <c r="G134" s="47"/>
      <c r="H134" s="47"/>
      <c r="I134" s="47"/>
      <c r="J134" s="47"/>
      <c r="K134" s="528"/>
      <c r="L134" s="407">
        <v>0</v>
      </c>
      <c r="M134" s="407"/>
      <c r="N134" s="407">
        <v>0</v>
      </c>
      <c r="O134" s="407"/>
      <c r="P134" s="407"/>
      <c r="Q134" s="314">
        <f t="shared" si="15"/>
        <v>0</v>
      </c>
      <c r="R134" s="315" t="str">
        <f t="shared" si="16"/>
        <v>SI</v>
      </c>
      <c r="S134" s="316" t="str">
        <f t="shared" si="14"/>
        <v>Sin Riesgo</v>
      </c>
    </row>
    <row r="135" spans="1:19" s="116" customFormat="1" ht="32.1" customHeight="1">
      <c r="A135" s="444" t="s">
        <v>106</v>
      </c>
      <c r="B135" s="326" t="s">
        <v>3847</v>
      </c>
      <c r="C135" s="327" t="s">
        <v>3848</v>
      </c>
      <c r="D135" s="346">
        <v>164</v>
      </c>
      <c r="E135" s="47"/>
      <c r="F135" s="47"/>
      <c r="G135" s="47"/>
      <c r="H135" s="47"/>
      <c r="I135" s="47"/>
      <c r="J135" s="47"/>
      <c r="K135" s="528">
        <v>0</v>
      </c>
      <c r="L135" s="407"/>
      <c r="M135" s="407">
        <v>0</v>
      </c>
      <c r="N135" s="407"/>
      <c r="O135" s="407">
        <v>0</v>
      </c>
      <c r="P135" s="407"/>
      <c r="Q135" s="314">
        <f t="shared" si="15"/>
        <v>0</v>
      </c>
      <c r="R135" s="315" t="str">
        <f t="shared" si="16"/>
        <v>SI</v>
      </c>
      <c r="S135" s="316" t="str">
        <f t="shared" si="14"/>
        <v>Sin Riesgo</v>
      </c>
    </row>
    <row r="136" spans="1:19" s="116" customFormat="1" ht="32.1" customHeight="1">
      <c r="A136" s="444" t="s">
        <v>106</v>
      </c>
      <c r="B136" s="326" t="s">
        <v>3849</v>
      </c>
      <c r="C136" s="327" t="s">
        <v>3850</v>
      </c>
      <c r="D136" s="346">
        <v>254</v>
      </c>
      <c r="E136" s="47"/>
      <c r="F136" s="47"/>
      <c r="G136" s="47"/>
      <c r="H136" s="47"/>
      <c r="I136" s="47"/>
      <c r="J136" s="47"/>
      <c r="K136" s="528"/>
      <c r="L136" s="407">
        <v>74.8</v>
      </c>
      <c r="M136" s="407"/>
      <c r="N136" s="407">
        <v>1.7</v>
      </c>
      <c r="O136" s="407"/>
      <c r="P136" s="407"/>
      <c r="Q136" s="314">
        <f t="shared" si="15"/>
        <v>38.25</v>
      </c>
      <c r="R136" s="315" t="str">
        <f t="shared" si="16"/>
        <v>NO</v>
      </c>
      <c r="S136" s="316" t="str">
        <f t="shared" si="14"/>
        <v>Alto</v>
      </c>
    </row>
    <row r="137" spans="1:19" s="116" customFormat="1" ht="46.5" customHeight="1">
      <c r="A137" s="404" t="s">
        <v>79</v>
      </c>
      <c r="B137" s="302" t="s">
        <v>4129</v>
      </c>
      <c r="C137" s="302" t="s">
        <v>4130</v>
      </c>
      <c r="D137" s="399">
        <v>320</v>
      </c>
      <c r="E137" s="47"/>
      <c r="F137" s="47">
        <v>33.6</v>
      </c>
      <c r="G137" s="47">
        <v>0</v>
      </c>
      <c r="H137" s="47">
        <v>0</v>
      </c>
      <c r="I137" s="47">
        <v>0</v>
      </c>
      <c r="J137" s="47">
        <v>0</v>
      </c>
      <c r="K137" s="469">
        <v>0</v>
      </c>
      <c r="L137" s="47">
        <v>0</v>
      </c>
      <c r="M137" s="47">
        <v>0</v>
      </c>
      <c r="N137" s="47">
        <v>0</v>
      </c>
      <c r="O137" s="47">
        <v>23.6</v>
      </c>
      <c r="P137" s="47">
        <v>33.6</v>
      </c>
      <c r="Q137" s="314">
        <f>AVERAGE(E137:P137)</f>
        <v>8.2545454545454557</v>
      </c>
      <c r="R137" s="315" t="str">
        <f t="shared" si="16"/>
        <v>NO</v>
      </c>
      <c r="S137" s="316" t="str">
        <f t="shared" si="14"/>
        <v>Bajo</v>
      </c>
    </row>
    <row r="138" spans="1:19" s="116" customFormat="1" ht="48" customHeight="1">
      <c r="A138" s="404" t="s">
        <v>79</v>
      </c>
      <c r="B138" s="302" t="s">
        <v>432</v>
      </c>
      <c r="C138" s="302" t="s">
        <v>4131</v>
      </c>
      <c r="D138" s="399">
        <v>255</v>
      </c>
      <c r="E138" s="47"/>
      <c r="F138" s="47">
        <v>0</v>
      </c>
      <c r="G138" s="47">
        <v>33.6</v>
      </c>
      <c r="H138" s="47">
        <v>9.6</v>
      </c>
      <c r="I138" s="47">
        <v>33.6</v>
      </c>
      <c r="J138" s="47">
        <v>33.6</v>
      </c>
      <c r="K138" s="469">
        <v>57.599999999999994</v>
      </c>
      <c r="L138" s="47"/>
      <c r="M138" s="47">
        <v>33.6</v>
      </c>
      <c r="N138" s="47">
        <v>33.6</v>
      </c>
      <c r="O138" s="47">
        <v>0</v>
      </c>
      <c r="P138" s="47">
        <v>0</v>
      </c>
      <c r="Q138" s="314">
        <f t="shared" ref="Q138:Q143" si="17">AVERAGE(E138:P138)</f>
        <v>23.52</v>
      </c>
      <c r="R138" s="315" t="str">
        <f t="shared" si="16"/>
        <v>NO</v>
      </c>
      <c r="S138" s="316" t="str">
        <f t="shared" si="14"/>
        <v>Medio</v>
      </c>
    </row>
    <row r="139" spans="1:19" s="116" customFormat="1" ht="48" customHeight="1">
      <c r="A139" s="404" t="s">
        <v>79</v>
      </c>
      <c r="B139" s="302" t="s">
        <v>4132</v>
      </c>
      <c r="C139" s="302" t="s">
        <v>4133</v>
      </c>
      <c r="D139" s="346">
        <v>35</v>
      </c>
      <c r="E139" s="47"/>
      <c r="F139" s="47">
        <v>0</v>
      </c>
      <c r="G139" s="47">
        <v>33.6</v>
      </c>
      <c r="H139" s="47">
        <v>9.6</v>
      </c>
      <c r="I139" s="47">
        <v>24</v>
      </c>
      <c r="J139" s="47">
        <v>0</v>
      </c>
      <c r="K139" s="469">
        <v>9.6</v>
      </c>
      <c r="L139" s="47">
        <v>0</v>
      </c>
      <c r="M139" s="47">
        <v>33.6</v>
      </c>
      <c r="N139" s="47">
        <v>0</v>
      </c>
      <c r="O139" s="47">
        <v>16.850000000000001</v>
      </c>
      <c r="P139" s="47">
        <v>0</v>
      </c>
      <c r="Q139" s="314">
        <f t="shared" si="17"/>
        <v>11.568181818181818</v>
      </c>
      <c r="R139" s="315" t="str">
        <f t="shared" si="16"/>
        <v>NO</v>
      </c>
      <c r="S139" s="316" t="str">
        <f t="shared" si="14"/>
        <v>Bajo</v>
      </c>
    </row>
    <row r="140" spans="1:19" s="116" customFormat="1" ht="32.1" customHeight="1">
      <c r="A140" s="404" t="s">
        <v>79</v>
      </c>
      <c r="B140" s="302" t="s">
        <v>84</v>
      </c>
      <c r="C140" s="302" t="s">
        <v>83</v>
      </c>
      <c r="D140" s="399">
        <v>123</v>
      </c>
      <c r="E140" s="47"/>
      <c r="F140" s="47">
        <v>0</v>
      </c>
      <c r="G140" s="47"/>
      <c r="H140" s="47">
        <v>0</v>
      </c>
      <c r="I140" s="47">
        <v>49.6</v>
      </c>
      <c r="J140" s="47">
        <v>24</v>
      </c>
      <c r="K140" s="469">
        <v>57.599999999999994</v>
      </c>
      <c r="L140" s="47">
        <v>33.6</v>
      </c>
      <c r="M140" s="47">
        <v>33.6</v>
      </c>
      <c r="N140" s="47">
        <v>0</v>
      </c>
      <c r="O140" s="47">
        <v>23.6</v>
      </c>
      <c r="P140" s="47">
        <v>40</v>
      </c>
      <c r="Q140" s="314">
        <f t="shared" si="17"/>
        <v>26.2</v>
      </c>
      <c r="R140" s="315" t="str">
        <f t="shared" si="16"/>
        <v>NO</v>
      </c>
      <c r="S140" s="316" t="str">
        <f t="shared" si="14"/>
        <v>Medio</v>
      </c>
    </row>
    <row r="141" spans="1:19" s="116" customFormat="1" ht="32.1" customHeight="1">
      <c r="A141" s="404" t="s">
        <v>79</v>
      </c>
      <c r="B141" s="302" t="s">
        <v>4135</v>
      </c>
      <c r="C141" s="302" t="s">
        <v>4136</v>
      </c>
      <c r="D141" s="346">
        <v>180</v>
      </c>
      <c r="E141" s="47"/>
      <c r="F141" s="47">
        <v>0</v>
      </c>
      <c r="G141" s="47">
        <v>33.6</v>
      </c>
      <c r="H141" s="47">
        <v>0</v>
      </c>
      <c r="I141" s="47">
        <v>97.6</v>
      </c>
      <c r="J141" s="47">
        <v>0</v>
      </c>
      <c r="K141" s="469">
        <v>24</v>
      </c>
      <c r="L141" s="47">
        <v>0</v>
      </c>
      <c r="M141" s="47">
        <v>33.6</v>
      </c>
      <c r="N141" s="47">
        <v>9.6</v>
      </c>
      <c r="O141" s="47">
        <v>0</v>
      </c>
      <c r="P141" s="47">
        <v>40</v>
      </c>
      <c r="Q141" s="314">
        <f t="shared" si="17"/>
        <v>21.672727272727272</v>
      </c>
      <c r="R141" s="315" t="str">
        <f t="shared" si="16"/>
        <v>NO</v>
      </c>
      <c r="S141" s="316" t="str">
        <f t="shared" si="14"/>
        <v>Medio</v>
      </c>
    </row>
    <row r="142" spans="1:19" s="116" customFormat="1" ht="32.1" customHeight="1">
      <c r="A142" s="404" t="s">
        <v>79</v>
      </c>
      <c r="B142" s="302" t="s">
        <v>51</v>
      </c>
      <c r="C142" s="302" t="s">
        <v>4137</v>
      </c>
      <c r="D142" s="346">
        <v>135</v>
      </c>
      <c r="E142" s="47"/>
      <c r="F142" s="47">
        <v>33.6</v>
      </c>
      <c r="G142" s="47">
        <v>57.599999999999994</v>
      </c>
      <c r="H142" s="47">
        <v>97.6</v>
      </c>
      <c r="I142" s="47">
        <v>97.6</v>
      </c>
      <c r="J142" s="47">
        <v>33.6</v>
      </c>
      <c r="K142" s="469">
        <v>57.599999999999994</v>
      </c>
      <c r="L142" s="47"/>
      <c r="M142" s="47">
        <v>57.599999999999994</v>
      </c>
      <c r="N142" s="47">
        <v>88</v>
      </c>
      <c r="O142" s="47">
        <v>42.13</v>
      </c>
      <c r="P142" s="47">
        <v>73.599999999999994</v>
      </c>
      <c r="Q142" s="314">
        <f t="shared" si="17"/>
        <v>63.893000000000008</v>
      </c>
      <c r="R142" s="315" t="str">
        <f t="shared" si="16"/>
        <v>NO</v>
      </c>
      <c r="S142" s="316" t="str">
        <f t="shared" si="14"/>
        <v>Alto</v>
      </c>
    </row>
    <row r="143" spans="1:19" s="116" customFormat="1" ht="32.1" customHeight="1">
      <c r="A143" s="404" t="s">
        <v>79</v>
      </c>
      <c r="B143" s="302" t="s">
        <v>292</v>
      </c>
      <c r="C143" s="302" t="s">
        <v>4138</v>
      </c>
      <c r="D143" s="346">
        <v>34</v>
      </c>
      <c r="E143" s="47"/>
      <c r="F143" s="47"/>
      <c r="G143" s="47"/>
      <c r="H143" s="47"/>
      <c r="I143" s="47">
        <v>73.599999999999994</v>
      </c>
      <c r="J143" s="47"/>
      <c r="K143" s="47"/>
      <c r="L143" s="47"/>
      <c r="M143" s="47"/>
      <c r="N143" s="47"/>
      <c r="O143" s="47">
        <v>73.599999999999994</v>
      </c>
      <c r="P143" s="47"/>
      <c r="Q143" s="314">
        <f t="shared" si="17"/>
        <v>73.599999999999994</v>
      </c>
      <c r="R143" s="315" t="str">
        <f t="shared" si="16"/>
        <v>NO</v>
      </c>
      <c r="S143" s="316" t="str">
        <f t="shared" si="14"/>
        <v>Alto</v>
      </c>
    </row>
    <row r="144" spans="1:19" s="116" customFormat="1" ht="32.1" customHeight="1">
      <c r="A144" s="404" t="s">
        <v>79</v>
      </c>
      <c r="B144" s="302" t="s">
        <v>1539</v>
      </c>
      <c r="C144" s="302" t="s">
        <v>4139</v>
      </c>
      <c r="D144" s="346">
        <v>285</v>
      </c>
      <c r="E144" s="47"/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33.6</v>
      </c>
      <c r="N144" s="47">
        <v>0</v>
      </c>
      <c r="O144" s="47">
        <v>0</v>
      </c>
      <c r="P144" s="47">
        <v>0</v>
      </c>
      <c r="Q144" s="314">
        <f t="shared" si="15"/>
        <v>3.0545454545454547</v>
      </c>
      <c r="R144" s="315" t="str">
        <f t="shared" si="16"/>
        <v>SI</v>
      </c>
      <c r="S144" s="316" t="str">
        <f t="shared" si="14"/>
        <v>Sin Riesgo</v>
      </c>
    </row>
    <row r="145" spans="1:19" s="116" customFormat="1" ht="32.1" customHeight="1">
      <c r="A145" s="404" t="s">
        <v>79</v>
      </c>
      <c r="B145" s="302" t="s">
        <v>4140</v>
      </c>
      <c r="C145" s="302" t="s">
        <v>4141</v>
      </c>
      <c r="D145" s="346">
        <v>700</v>
      </c>
      <c r="E145" s="47"/>
      <c r="F145" s="47">
        <v>0</v>
      </c>
      <c r="G145" s="47">
        <v>33.6</v>
      </c>
      <c r="H145" s="47">
        <v>0</v>
      </c>
      <c r="I145" s="47">
        <v>0</v>
      </c>
      <c r="J145" s="47">
        <v>9.6</v>
      </c>
      <c r="K145" s="47">
        <v>0</v>
      </c>
      <c r="L145" s="47" t="s">
        <v>4134</v>
      </c>
      <c r="M145" s="47">
        <v>33.6</v>
      </c>
      <c r="N145" s="47">
        <v>0</v>
      </c>
      <c r="O145" s="47">
        <v>23.6</v>
      </c>
      <c r="P145" s="47">
        <v>0</v>
      </c>
      <c r="Q145" s="314">
        <f t="shared" si="15"/>
        <v>10.040000000000001</v>
      </c>
      <c r="R145" s="315" t="str">
        <f t="shared" si="16"/>
        <v>NO</v>
      </c>
      <c r="S145" s="316" t="str">
        <f t="shared" si="14"/>
        <v>Bajo</v>
      </c>
    </row>
    <row r="146" spans="1:19" s="116" customFormat="1" ht="46.5" customHeight="1">
      <c r="A146" s="404" t="s">
        <v>79</v>
      </c>
      <c r="B146" s="302" t="s">
        <v>4142</v>
      </c>
      <c r="C146" s="302" t="s">
        <v>4143</v>
      </c>
      <c r="D146" s="346">
        <v>158</v>
      </c>
      <c r="E146" s="47"/>
      <c r="F146" s="47">
        <v>0</v>
      </c>
      <c r="G146" s="47">
        <v>57.599999999999994</v>
      </c>
      <c r="H146" s="47">
        <v>0</v>
      </c>
      <c r="I146" s="47">
        <v>0</v>
      </c>
      <c r="J146" s="47">
        <v>0</v>
      </c>
      <c r="K146" s="47">
        <v>0</v>
      </c>
      <c r="L146" s="47">
        <v>9.6</v>
      </c>
      <c r="M146" s="47">
        <v>33.6</v>
      </c>
      <c r="N146" s="47">
        <v>0</v>
      </c>
      <c r="O146" s="47">
        <v>23.6</v>
      </c>
      <c r="P146" s="47">
        <v>40</v>
      </c>
      <c r="Q146" s="314">
        <f t="shared" si="15"/>
        <v>14.945454545454544</v>
      </c>
      <c r="R146" s="315" t="str">
        <f t="shared" si="16"/>
        <v>NO</v>
      </c>
      <c r="S146" s="316" t="str">
        <f t="shared" si="14"/>
        <v>Medio</v>
      </c>
    </row>
    <row r="147" spans="1:19" s="116" customFormat="1" ht="44.25" customHeight="1">
      <c r="A147" s="404" t="s">
        <v>79</v>
      </c>
      <c r="B147" s="302" t="s">
        <v>232</v>
      </c>
      <c r="C147" s="302" t="s">
        <v>4144</v>
      </c>
      <c r="D147" s="346">
        <v>351</v>
      </c>
      <c r="E147" s="47"/>
      <c r="F147" s="47">
        <v>0</v>
      </c>
      <c r="G147" s="47">
        <v>33.6</v>
      </c>
      <c r="H147" s="47">
        <v>33.6</v>
      </c>
      <c r="I147" s="47">
        <v>9.6</v>
      </c>
      <c r="J147" s="47">
        <v>33.6</v>
      </c>
      <c r="K147" s="47">
        <v>33.6</v>
      </c>
      <c r="L147" s="47">
        <v>33.6</v>
      </c>
      <c r="M147" s="47">
        <v>33.6</v>
      </c>
      <c r="N147" s="47">
        <v>33.6</v>
      </c>
      <c r="O147" s="47">
        <v>40.450000000000003</v>
      </c>
      <c r="P147" s="47">
        <v>9.6</v>
      </c>
      <c r="Q147" s="314">
        <f t="shared" si="15"/>
        <v>26.804545454545458</v>
      </c>
      <c r="R147" s="315" t="str">
        <f t="shared" si="16"/>
        <v>NO</v>
      </c>
      <c r="S147" s="316" t="str">
        <f t="shared" si="14"/>
        <v>Medio</v>
      </c>
    </row>
    <row r="148" spans="1:19" s="116" customFormat="1" ht="32.1" customHeight="1">
      <c r="A148" s="404" t="s">
        <v>79</v>
      </c>
      <c r="B148" s="302" t="s">
        <v>4145</v>
      </c>
      <c r="C148" s="302" t="s">
        <v>4146</v>
      </c>
      <c r="D148" s="346">
        <v>125</v>
      </c>
      <c r="E148" s="47"/>
      <c r="F148" s="47">
        <v>0</v>
      </c>
      <c r="G148" s="47">
        <v>57.599999999999994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97.6</v>
      </c>
      <c r="N148" s="47">
        <v>0</v>
      </c>
      <c r="O148" s="47">
        <v>16.850000000000001</v>
      </c>
      <c r="P148" s="47">
        <v>73.599999999999994</v>
      </c>
      <c r="Q148" s="314">
        <f t="shared" si="15"/>
        <v>22.331818181818178</v>
      </c>
      <c r="R148" s="315" t="str">
        <f t="shared" si="16"/>
        <v>NO</v>
      </c>
      <c r="S148" s="316" t="str">
        <f t="shared" si="14"/>
        <v>Medio</v>
      </c>
    </row>
    <row r="149" spans="1:19" s="116" customFormat="1" ht="32.1" customHeight="1">
      <c r="A149" s="404" t="s">
        <v>79</v>
      </c>
      <c r="B149" s="302" t="s">
        <v>3817</v>
      </c>
      <c r="C149" s="302" t="s">
        <v>4147</v>
      </c>
      <c r="D149" s="346">
        <v>124</v>
      </c>
      <c r="E149" s="47"/>
      <c r="F149" s="47"/>
      <c r="G149" s="47"/>
      <c r="H149" s="47"/>
      <c r="I149" s="47">
        <v>57.599999999999994</v>
      </c>
      <c r="J149" s="47"/>
      <c r="K149" s="47"/>
      <c r="L149" s="47"/>
      <c r="M149" s="47"/>
      <c r="N149" s="47"/>
      <c r="O149" s="47">
        <v>97.6</v>
      </c>
      <c r="P149" s="47"/>
      <c r="Q149" s="314">
        <f t="shared" si="15"/>
        <v>77.599999999999994</v>
      </c>
      <c r="R149" s="315" t="str">
        <f t="shared" si="16"/>
        <v>NO</v>
      </c>
      <c r="S149" s="316" t="str">
        <f t="shared" si="14"/>
        <v>Alto</v>
      </c>
    </row>
    <row r="150" spans="1:19" s="116" customFormat="1" ht="32.1" customHeight="1">
      <c r="A150" s="404" t="s">
        <v>79</v>
      </c>
      <c r="B150" s="302" t="s">
        <v>8</v>
      </c>
      <c r="C150" s="302" t="s">
        <v>4148</v>
      </c>
      <c r="D150" s="346">
        <v>359</v>
      </c>
      <c r="E150" s="47"/>
      <c r="F150" s="47">
        <v>24</v>
      </c>
      <c r="G150" s="47">
        <v>57.599999999999994</v>
      </c>
      <c r="H150" s="47">
        <v>0</v>
      </c>
      <c r="I150" s="47">
        <v>0</v>
      </c>
      <c r="J150" s="47">
        <v>33.6</v>
      </c>
      <c r="K150" s="47">
        <v>0</v>
      </c>
      <c r="L150" s="47">
        <v>33.6</v>
      </c>
      <c r="M150" s="47">
        <v>33.6</v>
      </c>
      <c r="N150" s="47">
        <v>33.6</v>
      </c>
      <c r="O150" s="47">
        <v>23.6</v>
      </c>
      <c r="P150" s="47">
        <v>33.6</v>
      </c>
      <c r="Q150" s="314">
        <f t="shared" si="15"/>
        <v>24.836363636363636</v>
      </c>
      <c r="R150" s="315" t="str">
        <f t="shared" ref="R150:R170" si="18">IF(Q150&lt;5,"SI","NO")</f>
        <v>NO</v>
      </c>
      <c r="S150" s="316" t="str">
        <f t="shared" ref="S150:S203" si="19">IF(Q150&lt;5,"Sin Riesgo",IF(Q150 &lt;=14,"Bajo",IF(Q150&lt;=35,"Medio",IF(Q150&lt;=80,"Alto","Inviable Sanitariamente"))))</f>
        <v>Medio</v>
      </c>
    </row>
    <row r="151" spans="1:19" s="116" customFormat="1" ht="32.1" customHeight="1">
      <c r="A151" s="404" t="s">
        <v>79</v>
      </c>
      <c r="B151" s="302" t="s">
        <v>12</v>
      </c>
      <c r="C151" s="302" t="s">
        <v>269</v>
      </c>
      <c r="D151" s="418">
        <v>89</v>
      </c>
      <c r="E151" s="47"/>
      <c r="F151" s="47"/>
      <c r="G151" s="47"/>
      <c r="H151" s="47"/>
      <c r="I151" s="47">
        <v>97.6</v>
      </c>
      <c r="J151" s="47"/>
      <c r="K151" s="47"/>
      <c r="L151" s="47"/>
      <c r="M151" s="47"/>
      <c r="N151" s="47"/>
      <c r="O151" s="47">
        <v>97.6</v>
      </c>
      <c r="P151" s="47"/>
      <c r="Q151" s="314">
        <f t="shared" ref="Q151:Q170" si="20">AVERAGE(E151:P151)</f>
        <v>97.6</v>
      </c>
      <c r="R151" s="315" t="str">
        <f t="shared" si="18"/>
        <v>NO</v>
      </c>
      <c r="S151" s="316" t="str">
        <f t="shared" si="19"/>
        <v>Inviable Sanitariamente</v>
      </c>
    </row>
    <row r="152" spans="1:19" s="116" customFormat="1" ht="32.1" customHeight="1">
      <c r="A152" s="404" t="s">
        <v>79</v>
      </c>
      <c r="B152" s="302" t="s">
        <v>440</v>
      </c>
      <c r="C152" s="302" t="s">
        <v>4149</v>
      </c>
      <c r="D152" s="418">
        <v>32</v>
      </c>
      <c r="E152" s="47"/>
      <c r="F152" s="47"/>
      <c r="G152" s="47"/>
      <c r="H152" s="47"/>
      <c r="I152" s="47">
        <v>73.599999999999994</v>
      </c>
      <c r="J152" s="47"/>
      <c r="K152" s="47"/>
      <c r="L152" s="47"/>
      <c r="M152" s="47"/>
      <c r="N152" s="47"/>
      <c r="O152" s="47">
        <v>73.599999999999994</v>
      </c>
      <c r="P152" s="47"/>
      <c r="Q152" s="314">
        <f t="shared" si="20"/>
        <v>73.599999999999994</v>
      </c>
      <c r="R152" s="315" t="str">
        <f t="shared" si="18"/>
        <v>NO</v>
      </c>
      <c r="S152" s="316" t="str">
        <f t="shared" si="19"/>
        <v>Alto</v>
      </c>
    </row>
    <row r="153" spans="1:19" s="116" customFormat="1" ht="32.1" customHeight="1">
      <c r="A153" s="404" t="s">
        <v>79</v>
      </c>
      <c r="B153" s="302" t="s">
        <v>467</v>
      </c>
      <c r="C153" s="302" t="s">
        <v>293</v>
      </c>
      <c r="D153" s="418">
        <v>136</v>
      </c>
      <c r="E153" s="47"/>
      <c r="F153" s="47">
        <v>0</v>
      </c>
      <c r="G153" s="47">
        <v>33.6</v>
      </c>
      <c r="H153" s="47">
        <v>0</v>
      </c>
      <c r="I153" s="47">
        <v>0</v>
      </c>
      <c r="J153" s="47">
        <v>24</v>
      </c>
      <c r="K153" s="47">
        <v>0</v>
      </c>
      <c r="L153" s="47">
        <v>33.6</v>
      </c>
      <c r="M153" s="47">
        <v>33.6</v>
      </c>
      <c r="N153" s="47">
        <v>24</v>
      </c>
      <c r="O153" s="47">
        <v>0</v>
      </c>
      <c r="P153" s="47">
        <v>40</v>
      </c>
      <c r="Q153" s="314">
        <f t="shared" si="20"/>
        <v>17.163636363636364</v>
      </c>
      <c r="R153" s="315" t="str">
        <f t="shared" si="18"/>
        <v>NO</v>
      </c>
      <c r="S153" s="316" t="str">
        <f t="shared" si="19"/>
        <v>Medio</v>
      </c>
    </row>
    <row r="154" spans="1:19" s="116" customFormat="1" ht="32.1" customHeight="1">
      <c r="A154" s="404" t="s">
        <v>79</v>
      </c>
      <c r="B154" s="302" t="s">
        <v>2863</v>
      </c>
      <c r="C154" s="302" t="s">
        <v>4150</v>
      </c>
      <c r="D154" s="418">
        <v>460</v>
      </c>
      <c r="E154" s="47"/>
      <c r="F154" s="47"/>
      <c r="G154" s="47"/>
      <c r="H154" s="47"/>
      <c r="I154" s="47">
        <v>33.6</v>
      </c>
      <c r="J154" s="47"/>
      <c r="K154" s="47"/>
      <c r="L154" s="47"/>
      <c r="M154" s="47"/>
      <c r="N154" s="47"/>
      <c r="O154" s="47">
        <v>97.6</v>
      </c>
      <c r="P154" s="47"/>
      <c r="Q154" s="314">
        <f t="shared" si="20"/>
        <v>65.599999999999994</v>
      </c>
      <c r="R154" s="315" t="str">
        <f t="shared" si="18"/>
        <v>NO</v>
      </c>
      <c r="S154" s="316" t="str">
        <f t="shared" si="19"/>
        <v>Alto</v>
      </c>
    </row>
    <row r="155" spans="1:19" s="116" customFormat="1" ht="41.25" customHeight="1">
      <c r="A155" s="404" t="s">
        <v>79</v>
      </c>
      <c r="B155" s="302" t="s">
        <v>442</v>
      </c>
      <c r="C155" s="302" t="s">
        <v>4151</v>
      </c>
      <c r="D155" s="418">
        <v>495</v>
      </c>
      <c r="E155" s="47"/>
      <c r="F155" s="47">
        <v>0</v>
      </c>
      <c r="G155" s="47"/>
      <c r="H155" s="47">
        <v>73.599999999999994</v>
      </c>
      <c r="I155" s="47">
        <v>97.6</v>
      </c>
      <c r="J155" s="47">
        <v>33.6</v>
      </c>
      <c r="K155" s="47">
        <v>33.6</v>
      </c>
      <c r="L155" s="47"/>
      <c r="M155" s="47">
        <v>97.6</v>
      </c>
      <c r="N155" s="47">
        <v>33.6</v>
      </c>
      <c r="O155" s="47">
        <v>40.450000000000003</v>
      </c>
      <c r="P155" s="47">
        <v>33.6</v>
      </c>
      <c r="Q155" s="314">
        <f t="shared" si="20"/>
        <v>49.294444444444451</v>
      </c>
      <c r="R155" s="315" t="str">
        <f t="shared" si="18"/>
        <v>NO</v>
      </c>
      <c r="S155" s="316" t="str">
        <f t="shared" si="19"/>
        <v>Alto</v>
      </c>
    </row>
    <row r="156" spans="1:19" s="116" customFormat="1" ht="44.25" customHeight="1">
      <c r="A156" s="404" t="s">
        <v>79</v>
      </c>
      <c r="B156" s="302" t="s">
        <v>4152</v>
      </c>
      <c r="C156" s="302" t="s">
        <v>4153</v>
      </c>
      <c r="D156" s="418">
        <v>35</v>
      </c>
      <c r="E156" s="47"/>
      <c r="F156" s="47">
        <v>0</v>
      </c>
      <c r="G156" s="47">
        <v>57.599999999999994</v>
      </c>
      <c r="H156" s="47">
        <v>0</v>
      </c>
      <c r="I156" s="47">
        <v>0</v>
      </c>
      <c r="J156" s="47">
        <v>0</v>
      </c>
      <c r="K156" s="47">
        <v>0</v>
      </c>
      <c r="L156" s="47"/>
      <c r="M156" s="47">
        <v>33.6</v>
      </c>
      <c r="N156" s="47">
        <v>0</v>
      </c>
      <c r="O156" s="47">
        <v>40.450000000000003</v>
      </c>
      <c r="P156" s="47">
        <v>40</v>
      </c>
      <c r="Q156" s="314">
        <f t="shared" si="20"/>
        <v>17.164999999999999</v>
      </c>
      <c r="R156" s="315" t="str">
        <f t="shared" si="18"/>
        <v>NO</v>
      </c>
      <c r="S156" s="316" t="str">
        <f t="shared" si="19"/>
        <v>Medio</v>
      </c>
    </row>
    <row r="157" spans="1:19" s="116" customFormat="1" ht="48" customHeight="1">
      <c r="A157" s="404" t="s">
        <v>79</v>
      </c>
      <c r="B157" s="302" t="s">
        <v>4154</v>
      </c>
      <c r="C157" s="302" t="s">
        <v>4155</v>
      </c>
      <c r="D157" s="418">
        <v>376</v>
      </c>
      <c r="E157" s="47"/>
      <c r="F157" s="47">
        <v>24</v>
      </c>
      <c r="G157" s="47">
        <v>9.6</v>
      </c>
      <c r="H157" s="47">
        <v>2.4</v>
      </c>
      <c r="I157" s="47">
        <v>0</v>
      </c>
      <c r="J157" s="47">
        <v>36</v>
      </c>
      <c r="K157" s="47">
        <v>49.6</v>
      </c>
      <c r="L157" s="47">
        <v>9.6</v>
      </c>
      <c r="M157" s="47">
        <v>0</v>
      </c>
      <c r="N157" s="47">
        <v>40</v>
      </c>
      <c r="O157" s="47">
        <v>25.28</v>
      </c>
      <c r="P157" s="47">
        <v>9.6</v>
      </c>
      <c r="Q157" s="314">
        <f t="shared" si="20"/>
        <v>18.734545454545454</v>
      </c>
      <c r="R157" s="315" t="str">
        <f t="shared" si="18"/>
        <v>NO</v>
      </c>
      <c r="S157" s="316" t="str">
        <f t="shared" si="19"/>
        <v>Medio</v>
      </c>
    </row>
    <row r="158" spans="1:19" s="116" customFormat="1" ht="32.1" customHeight="1">
      <c r="A158" s="404" t="s">
        <v>79</v>
      </c>
      <c r="B158" s="302" t="s">
        <v>2535</v>
      </c>
      <c r="C158" s="302" t="s">
        <v>4156</v>
      </c>
      <c r="D158" s="418">
        <v>485</v>
      </c>
      <c r="E158" s="47"/>
      <c r="F158" s="47">
        <v>97.6</v>
      </c>
      <c r="G158" s="47">
        <v>33.6</v>
      </c>
      <c r="H158" s="47">
        <v>0</v>
      </c>
      <c r="I158" s="47">
        <v>33.6</v>
      </c>
      <c r="J158" s="47">
        <v>57.599999999999994</v>
      </c>
      <c r="K158" s="47">
        <v>33.6</v>
      </c>
      <c r="L158" s="47">
        <v>33.6</v>
      </c>
      <c r="M158" s="47">
        <v>33.6</v>
      </c>
      <c r="N158" s="47">
        <v>33.6</v>
      </c>
      <c r="O158" s="47">
        <v>6.74</v>
      </c>
      <c r="P158" s="47">
        <v>33.6</v>
      </c>
      <c r="Q158" s="314">
        <f t="shared" si="20"/>
        <v>36.103636363636369</v>
      </c>
      <c r="R158" s="315" t="str">
        <f t="shared" si="18"/>
        <v>NO</v>
      </c>
      <c r="S158" s="316" t="str">
        <f t="shared" si="19"/>
        <v>Alto</v>
      </c>
    </row>
    <row r="159" spans="1:19" s="116" customFormat="1" ht="32.1" customHeight="1">
      <c r="A159" s="404" t="s">
        <v>79</v>
      </c>
      <c r="B159" s="302" t="s">
        <v>4157</v>
      </c>
      <c r="C159" s="302" t="s">
        <v>4158</v>
      </c>
      <c r="D159" s="418">
        <v>36</v>
      </c>
      <c r="E159" s="47"/>
      <c r="F159" s="47">
        <v>9.6</v>
      </c>
      <c r="G159" s="47">
        <v>9.6</v>
      </c>
      <c r="H159" s="47">
        <v>12</v>
      </c>
      <c r="I159" s="47">
        <v>9.6</v>
      </c>
      <c r="J159" s="47">
        <v>33.6</v>
      </c>
      <c r="K159" s="47">
        <v>76</v>
      </c>
      <c r="L159" s="47">
        <v>33.6</v>
      </c>
      <c r="M159" s="47">
        <v>9.6</v>
      </c>
      <c r="N159" s="47">
        <v>0</v>
      </c>
      <c r="O159" s="47">
        <v>40.450000000000003</v>
      </c>
      <c r="P159" s="47">
        <v>9.6</v>
      </c>
      <c r="Q159" s="314">
        <f t="shared" si="20"/>
        <v>22.150000000000002</v>
      </c>
      <c r="R159" s="315" t="str">
        <f t="shared" si="18"/>
        <v>NO</v>
      </c>
      <c r="S159" s="316" t="str">
        <f t="shared" si="19"/>
        <v>Medio</v>
      </c>
    </row>
    <row r="160" spans="1:19" s="116" customFormat="1" ht="32.1" customHeight="1">
      <c r="A160" s="404" t="s">
        <v>79</v>
      </c>
      <c r="B160" s="302" t="s">
        <v>4159</v>
      </c>
      <c r="C160" s="302" t="s">
        <v>4160</v>
      </c>
      <c r="D160" s="418">
        <v>28</v>
      </c>
      <c r="E160" s="47"/>
      <c r="F160" s="47"/>
      <c r="G160" s="47"/>
      <c r="H160" s="47"/>
      <c r="I160" s="47">
        <v>97.6</v>
      </c>
      <c r="J160" s="47"/>
      <c r="K160" s="47"/>
      <c r="L160" s="47"/>
      <c r="M160" s="47"/>
      <c r="N160" s="47"/>
      <c r="O160" s="47">
        <v>97.6</v>
      </c>
      <c r="P160" s="47"/>
      <c r="Q160" s="314">
        <f t="shared" si="20"/>
        <v>97.6</v>
      </c>
      <c r="R160" s="315" t="str">
        <f t="shared" si="18"/>
        <v>NO</v>
      </c>
      <c r="S160" s="316" t="str">
        <f t="shared" si="19"/>
        <v>Inviable Sanitariamente</v>
      </c>
    </row>
    <row r="161" spans="1:19" s="116" customFormat="1" ht="44.25" customHeight="1">
      <c r="A161" s="404" t="s">
        <v>79</v>
      </c>
      <c r="B161" s="302" t="s">
        <v>443</v>
      </c>
      <c r="C161" s="302" t="s">
        <v>4161</v>
      </c>
      <c r="D161" s="418">
        <v>115</v>
      </c>
      <c r="E161" s="47"/>
      <c r="F161" s="47">
        <v>33.6</v>
      </c>
      <c r="G161" s="47">
        <v>57.599999999999994</v>
      </c>
      <c r="H161" s="47">
        <v>9.6</v>
      </c>
      <c r="I161" s="47">
        <v>0</v>
      </c>
      <c r="J161" s="47">
        <v>33.6</v>
      </c>
      <c r="K161" s="47">
        <v>0</v>
      </c>
      <c r="L161" s="47">
        <v>0</v>
      </c>
      <c r="M161" s="47">
        <v>0</v>
      </c>
      <c r="N161" s="47">
        <v>9.6</v>
      </c>
      <c r="O161" s="47">
        <v>23.6</v>
      </c>
      <c r="P161" s="47">
        <v>33.6</v>
      </c>
      <c r="Q161" s="314">
        <f t="shared" si="20"/>
        <v>18.290909090909086</v>
      </c>
      <c r="R161" s="315" t="str">
        <f t="shared" si="18"/>
        <v>NO</v>
      </c>
      <c r="S161" s="316" t="str">
        <f t="shared" si="19"/>
        <v>Medio</v>
      </c>
    </row>
    <row r="162" spans="1:19" s="116" customFormat="1" ht="32.1" customHeight="1">
      <c r="A162" s="404" t="s">
        <v>79</v>
      </c>
      <c r="B162" s="319" t="s">
        <v>4162</v>
      </c>
      <c r="C162" s="319" t="s">
        <v>4163</v>
      </c>
      <c r="D162" s="304">
        <v>960</v>
      </c>
      <c r="E162" s="48"/>
      <c r="F162" s="48">
        <v>46.45</v>
      </c>
      <c r="G162" s="48"/>
      <c r="H162" s="48"/>
      <c r="I162" s="48">
        <v>9.68</v>
      </c>
      <c r="J162" s="48">
        <v>7.74</v>
      </c>
      <c r="K162" s="48"/>
      <c r="L162" s="48"/>
      <c r="M162" s="48">
        <v>46.451612903225808</v>
      </c>
      <c r="N162" s="48">
        <v>98.064516129032256</v>
      </c>
      <c r="O162" s="48">
        <v>98.064516129032256</v>
      </c>
      <c r="P162" s="48">
        <v>25.81</v>
      </c>
      <c r="Q162" s="314">
        <f t="shared" si="20"/>
        <v>47.465806451612899</v>
      </c>
      <c r="R162" s="315" t="str">
        <f t="shared" si="18"/>
        <v>NO</v>
      </c>
      <c r="S162" s="316" t="str">
        <f t="shared" si="19"/>
        <v>Alto</v>
      </c>
    </row>
    <row r="163" spans="1:19" s="116" customFormat="1" ht="32.1" customHeight="1">
      <c r="A163" s="444" t="s">
        <v>105</v>
      </c>
      <c r="B163" s="553" t="s">
        <v>3862</v>
      </c>
      <c r="C163" s="552" t="s">
        <v>4164</v>
      </c>
      <c r="D163" s="346">
        <v>90</v>
      </c>
      <c r="E163" s="47"/>
      <c r="F163" s="47"/>
      <c r="G163" s="47"/>
      <c r="H163" s="47"/>
      <c r="I163" s="47"/>
      <c r="J163" s="47"/>
      <c r="K163" s="47"/>
      <c r="L163" s="47">
        <v>27</v>
      </c>
      <c r="M163" s="47"/>
      <c r="N163" s="47"/>
      <c r="O163" s="47">
        <v>33</v>
      </c>
      <c r="P163" s="47"/>
      <c r="Q163" s="314">
        <f t="shared" si="20"/>
        <v>30</v>
      </c>
      <c r="R163" s="315" t="str">
        <f t="shared" si="18"/>
        <v>NO</v>
      </c>
      <c r="S163" s="316" t="str">
        <f t="shared" si="19"/>
        <v>Medio</v>
      </c>
    </row>
    <row r="164" spans="1:19" s="116" customFormat="1" ht="32.1" customHeight="1">
      <c r="A164" s="444" t="s">
        <v>105</v>
      </c>
      <c r="B164" s="553" t="s">
        <v>4171</v>
      </c>
      <c r="C164" s="552" t="s">
        <v>4165</v>
      </c>
      <c r="D164" s="346">
        <v>266</v>
      </c>
      <c r="E164" s="47"/>
      <c r="F164" s="47"/>
      <c r="G164" s="47"/>
      <c r="H164" s="47"/>
      <c r="I164" s="47"/>
      <c r="J164" s="47"/>
      <c r="K164" s="47"/>
      <c r="L164" s="47">
        <v>88</v>
      </c>
      <c r="M164" s="47"/>
      <c r="N164" s="47"/>
      <c r="O164" s="47">
        <v>17</v>
      </c>
      <c r="P164" s="47"/>
      <c r="Q164" s="314">
        <f t="shared" si="20"/>
        <v>52.5</v>
      </c>
      <c r="R164" s="315" t="str">
        <f t="shared" si="18"/>
        <v>NO</v>
      </c>
      <c r="S164" s="316" t="str">
        <f t="shared" si="19"/>
        <v>Alto</v>
      </c>
    </row>
    <row r="165" spans="1:19" s="116" customFormat="1" ht="32.1" customHeight="1">
      <c r="A165" s="444" t="s">
        <v>105</v>
      </c>
      <c r="B165" s="553" t="s">
        <v>3863</v>
      </c>
      <c r="C165" s="552" t="s">
        <v>4166</v>
      </c>
      <c r="D165" s="346">
        <v>87</v>
      </c>
      <c r="E165" s="47"/>
      <c r="F165" s="47"/>
      <c r="G165" s="47"/>
      <c r="H165" s="47"/>
      <c r="I165" s="47"/>
      <c r="J165" s="47"/>
      <c r="K165" s="47"/>
      <c r="L165" s="47">
        <v>40</v>
      </c>
      <c r="M165" s="47"/>
      <c r="N165" s="47"/>
      <c r="O165" s="47">
        <v>17</v>
      </c>
      <c r="P165" s="47"/>
      <c r="Q165" s="314">
        <f t="shared" si="20"/>
        <v>28.5</v>
      </c>
      <c r="R165" s="315" t="str">
        <f t="shared" si="18"/>
        <v>NO</v>
      </c>
      <c r="S165" s="316" t="str">
        <f t="shared" si="19"/>
        <v>Medio</v>
      </c>
    </row>
    <row r="166" spans="1:19" s="116" customFormat="1" ht="32.1" customHeight="1">
      <c r="A166" s="444" t="s">
        <v>105</v>
      </c>
      <c r="B166" s="553" t="s">
        <v>3192</v>
      </c>
      <c r="C166" s="552" t="s">
        <v>4167</v>
      </c>
      <c r="D166" s="346">
        <v>92</v>
      </c>
      <c r="E166" s="47"/>
      <c r="F166" s="47"/>
      <c r="G166" s="47"/>
      <c r="H166" s="47"/>
      <c r="I166" s="47"/>
      <c r="J166" s="47"/>
      <c r="K166" s="47"/>
      <c r="L166" s="47">
        <v>25</v>
      </c>
      <c r="M166" s="47"/>
      <c r="N166" s="47"/>
      <c r="O166" s="47">
        <v>17</v>
      </c>
      <c r="P166" s="47"/>
      <c r="Q166" s="314">
        <f t="shared" si="20"/>
        <v>21</v>
      </c>
      <c r="R166" s="315" t="str">
        <f t="shared" si="18"/>
        <v>NO</v>
      </c>
      <c r="S166" s="316" t="str">
        <f t="shared" si="19"/>
        <v>Medio</v>
      </c>
    </row>
    <row r="167" spans="1:19" s="116" customFormat="1" ht="32.1" customHeight="1">
      <c r="A167" s="444" t="s">
        <v>105</v>
      </c>
      <c r="B167" s="553" t="s">
        <v>4173</v>
      </c>
      <c r="C167" s="552" t="s">
        <v>4168</v>
      </c>
      <c r="D167" s="346">
        <v>70</v>
      </c>
      <c r="E167" s="47"/>
      <c r="F167" s="47"/>
      <c r="G167" s="47"/>
      <c r="H167" s="47"/>
      <c r="I167" s="47"/>
      <c r="J167" s="47"/>
      <c r="K167" s="47"/>
      <c r="L167" s="47">
        <v>20</v>
      </c>
      <c r="M167" s="47"/>
      <c r="N167" s="47"/>
      <c r="O167" s="47">
        <v>0</v>
      </c>
      <c r="P167" s="47"/>
      <c r="Q167" s="314">
        <f t="shared" si="20"/>
        <v>10</v>
      </c>
      <c r="R167" s="315" t="str">
        <f t="shared" si="18"/>
        <v>NO</v>
      </c>
      <c r="S167" s="316" t="str">
        <f t="shared" si="19"/>
        <v>Bajo</v>
      </c>
    </row>
    <row r="168" spans="1:19" s="116" customFormat="1" ht="32.1" customHeight="1">
      <c r="A168" s="444" t="s">
        <v>105</v>
      </c>
      <c r="B168" s="553" t="s">
        <v>3864</v>
      </c>
      <c r="C168" s="552" t="s">
        <v>4169</v>
      </c>
      <c r="D168" s="346">
        <v>70</v>
      </c>
      <c r="E168" s="47"/>
      <c r="F168" s="47"/>
      <c r="G168" s="47"/>
      <c r="H168" s="47"/>
      <c r="I168" s="47"/>
      <c r="J168" s="47"/>
      <c r="K168" s="47"/>
      <c r="L168" s="47">
        <v>42</v>
      </c>
      <c r="M168" s="47"/>
      <c r="N168" s="47"/>
      <c r="O168" s="47">
        <v>17</v>
      </c>
      <c r="P168" s="47"/>
      <c r="Q168" s="314">
        <f t="shared" si="20"/>
        <v>29.5</v>
      </c>
      <c r="R168" s="315" t="str">
        <f t="shared" si="18"/>
        <v>NO</v>
      </c>
      <c r="S168" s="316" t="str">
        <f t="shared" si="19"/>
        <v>Medio</v>
      </c>
    </row>
    <row r="169" spans="1:19" s="116" customFormat="1" ht="32.1" customHeight="1">
      <c r="A169" s="444" t="s">
        <v>105</v>
      </c>
      <c r="B169" s="553" t="s">
        <v>4172</v>
      </c>
      <c r="C169" s="552" t="s">
        <v>4170</v>
      </c>
      <c r="D169" s="399">
        <v>70</v>
      </c>
      <c r="E169" s="47"/>
      <c r="F169" s="47"/>
      <c r="G169" s="47"/>
      <c r="H169" s="47"/>
      <c r="I169" s="47"/>
      <c r="J169" s="577"/>
      <c r="K169" s="47"/>
      <c r="L169" s="47">
        <v>40</v>
      </c>
      <c r="M169" s="47"/>
      <c r="N169" s="47"/>
      <c r="O169" s="47">
        <v>17</v>
      </c>
      <c r="P169" s="47"/>
      <c r="Q169" s="314">
        <f t="shared" si="20"/>
        <v>28.5</v>
      </c>
      <c r="R169" s="315" t="str">
        <f t="shared" si="18"/>
        <v>NO</v>
      </c>
      <c r="S169" s="316" t="str">
        <f t="shared" si="19"/>
        <v>Medio</v>
      </c>
    </row>
    <row r="170" spans="1:19" s="116" customFormat="1" ht="32.1" customHeight="1">
      <c r="A170" s="568" t="s">
        <v>105</v>
      </c>
      <c r="B170" s="571" t="s">
        <v>3865</v>
      </c>
      <c r="C170" s="572" t="s">
        <v>3866</v>
      </c>
      <c r="D170" s="312">
        <v>70</v>
      </c>
      <c r="E170" s="48"/>
      <c r="F170" s="48"/>
      <c r="G170" s="48"/>
      <c r="H170" s="48"/>
      <c r="I170" s="48">
        <v>19</v>
      </c>
      <c r="J170" s="48"/>
      <c r="K170" s="48"/>
      <c r="L170" s="48"/>
      <c r="M170" s="48"/>
      <c r="N170" s="48"/>
      <c r="O170" s="48"/>
      <c r="P170" s="48"/>
      <c r="Q170" s="314">
        <f t="shared" si="20"/>
        <v>19</v>
      </c>
      <c r="R170" s="315" t="str">
        <f t="shared" si="18"/>
        <v>NO</v>
      </c>
      <c r="S170" s="316" t="str">
        <f t="shared" si="19"/>
        <v>Medio</v>
      </c>
    </row>
    <row r="171" spans="1:19" s="116" customFormat="1" ht="32.1" customHeight="1">
      <c r="A171" s="568" t="s">
        <v>108</v>
      </c>
      <c r="B171" s="565" t="s">
        <v>3851</v>
      </c>
      <c r="C171" s="565" t="s">
        <v>3852</v>
      </c>
      <c r="D171" s="304">
        <v>771</v>
      </c>
      <c r="E171" s="48"/>
      <c r="F171" s="48"/>
      <c r="G171" s="48"/>
      <c r="H171" s="48"/>
      <c r="I171" s="48"/>
      <c r="J171" s="48">
        <v>50.56</v>
      </c>
      <c r="K171" s="48">
        <v>16.850000000000001</v>
      </c>
      <c r="L171" s="48">
        <v>0</v>
      </c>
      <c r="M171" s="48">
        <v>0</v>
      </c>
      <c r="N171" s="48">
        <v>16.850000000000001</v>
      </c>
      <c r="O171" s="47">
        <v>0</v>
      </c>
      <c r="P171" s="47">
        <v>16.850000000000001</v>
      </c>
      <c r="Q171" s="314">
        <f t="shared" ref="Q171:Q210" si="21">AVERAGE(E171:P171)</f>
        <v>14.444285714285712</v>
      </c>
      <c r="R171" s="315" t="str">
        <f t="shared" ref="R171:R210" si="22">IF(Q171&lt;5,"SI","NO")</f>
        <v>NO</v>
      </c>
      <c r="S171" s="316" t="str">
        <f t="shared" si="19"/>
        <v>Medio</v>
      </c>
    </row>
    <row r="172" spans="1:19" s="116" customFormat="1" ht="32.1" customHeight="1">
      <c r="A172" s="568" t="s">
        <v>108</v>
      </c>
      <c r="B172" s="565" t="s">
        <v>3853</v>
      </c>
      <c r="C172" s="565" t="s">
        <v>3854</v>
      </c>
      <c r="D172" s="304">
        <v>2800</v>
      </c>
      <c r="E172" s="48"/>
      <c r="F172" s="48"/>
      <c r="G172" s="48"/>
      <c r="H172" s="48"/>
      <c r="I172" s="48"/>
      <c r="J172" s="48">
        <v>16.850000000000001</v>
      </c>
      <c r="K172" s="48">
        <v>16.850000000000001</v>
      </c>
      <c r="L172" s="48">
        <v>0</v>
      </c>
      <c r="M172" s="48">
        <v>16.850000000000001</v>
      </c>
      <c r="N172" s="48">
        <v>23.59</v>
      </c>
      <c r="O172" s="47">
        <v>16.850000000000001</v>
      </c>
      <c r="P172" s="47">
        <v>16.850000000000001</v>
      </c>
      <c r="Q172" s="314">
        <f t="shared" si="21"/>
        <v>15.405714285714286</v>
      </c>
      <c r="R172" s="315" t="str">
        <f t="shared" si="22"/>
        <v>NO</v>
      </c>
      <c r="S172" s="316" t="str">
        <f t="shared" si="19"/>
        <v>Medio</v>
      </c>
    </row>
    <row r="173" spans="1:19" s="116" customFormat="1" ht="32.1" customHeight="1">
      <c r="A173" s="568" t="s">
        <v>108</v>
      </c>
      <c r="B173" s="565" t="s">
        <v>3855</v>
      </c>
      <c r="C173" s="565" t="s">
        <v>3856</v>
      </c>
      <c r="D173" s="304">
        <v>111</v>
      </c>
      <c r="E173" s="48"/>
      <c r="F173" s="48"/>
      <c r="G173" s="48"/>
      <c r="H173" s="48"/>
      <c r="I173" s="48"/>
      <c r="J173" s="48">
        <v>0</v>
      </c>
      <c r="K173" s="48">
        <v>16.850000000000001</v>
      </c>
      <c r="L173" s="48">
        <v>17.97</v>
      </c>
      <c r="M173" s="48">
        <v>0</v>
      </c>
      <c r="N173" s="48">
        <v>0</v>
      </c>
      <c r="O173" s="47">
        <v>0</v>
      </c>
      <c r="P173" s="47">
        <v>0</v>
      </c>
      <c r="Q173" s="314">
        <f t="shared" si="21"/>
        <v>4.9742857142857142</v>
      </c>
      <c r="R173" s="315" t="str">
        <f t="shared" si="22"/>
        <v>SI</v>
      </c>
      <c r="S173" s="316" t="str">
        <f t="shared" si="19"/>
        <v>Sin Riesgo</v>
      </c>
    </row>
    <row r="174" spans="1:19" s="116" customFormat="1" ht="32.1" customHeight="1">
      <c r="A174" s="568" t="s">
        <v>108</v>
      </c>
      <c r="B174" s="565" t="s">
        <v>3857</v>
      </c>
      <c r="C174" s="565" t="s">
        <v>315</v>
      </c>
      <c r="D174" s="304">
        <v>1604</v>
      </c>
      <c r="E174" s="48"/>
      <c r="F174" s="48"/>
      <c r="G174" s="48"/>
      <c r="H174" s="48"/>
      <c r="I174" s="48"/>
      <c r="J174" s="48">
        <v>16.850000000000001</v>
      </c>
      <c r="K174" s="48">
        <v>16.850000000000001</v>
      </c>
      <c r="L174" s="48">
        <v>0</v>
      </c>
      <c r="M174" s="48">
        <v>44.94</v>
      </c>
      <c r="N174" s="48">
        <v>33.700000000000003</v>
      </c>
      <c r="O174" s="47">
        <v>33.700000000000003</v>
      </c>
      <c r="P174" s="47">
        <v>16.850000000000001</v>
      </c>
      <c r="Q174" s="314">
        <f t="shared" si="21"/>
        <v>23.270000000000003</v>
      </c>
      <c r="R174" s="315" t="str">
        <f t="shared" si="22"/>
        <v>NO</v>
      </c>
      <c r="S174" s="316" t="str">
        <f t="shared" si="19"/>
        <v>Medio</v>
      </c>
    </row>
    <row r="175" spans="1:19" s="116" customFormat="1" ht="32.1" customHeight="1">
      <c r="A175" s="568" t="s">
        <v>108</v>
      </c>
      <c r="B175" s="565" t="s">
        <v>3858</v>
      </c>
      <c r="C175" s="565" t="s">
        <v>314</v>
      </c>
      <c r="D175" s="304">
        <v>229</v>
      </c>
      <c r="E175" s="48"/>
      <c r="F175" s="48"/>
      <c r="G175" s="48"/>
      <c r="H175" s="48"/>
      <c r="I175" s="48"/>
      <c r="J175" s="48">
        <v>16.850000000000001</v>
      </c>
      <c r="K175" s="48">
        <v>0</v>
      </c>
      <c r="L175" s="48">
        <v>16.850000000000001</v>
      </c>
      <c r="M175" s="48">
        <v>16.850000000000001</v>
      </c>
      <c r="N175" s="48">
        <v>16.850000000000001</v>
      </c>
      <c r="O175" s="47">
        <v>16.850000000000001</v>
      </c>
      <c r="P175" s="47">
        <v>16.850000000000001</v>
      </c>
      <c r="Q175" s="314">
        <f t="shared" si="21"/>
        <v>14.442857142857141</v>
      </c>
      <c r="R175" s="315" t="str">
        <f t="shared" si="22"/>
        <v>NO</v>
      </c>
      <c r="S175" s="316" t="str">
        <f t="shared" si="19"/>
        <v>Medio</v>
      </c>
    </row>
    <row r="176" spans="1:19" s="116" customFormat="1" ht="32.1" customHeight="1">
      <c r="A176" s="568" t="s">
        <v>108</v>
      </c>
      <c r="B176" s="565" t="s">
        <v>3859</v>
      </c>
      <c r="C176" s="565" t="s">
        <v>3860</v>
      </c>
      <c r="D176" s="304">
        <v>40</v>
      </c>
      <c r="E176" s="48"/>
      <c r="F176" s="48"/>
      <c r="G176" s="48"/>
      <c r="H176" s="48"/>
      <c r="I176" s="48"/>
      <c r="J176" s="48">
        <v>61.79</v>
      </c>
      <c r="K176" s="48">
        <v>61.79</v>
      </c>
      <c r="L176" s="48">
        <v>78.650000000000006</v>
      </c>
      <c r="M176" s="48">
        <v>78.650000000000006</v>
      </c>
      <c r="N176" s="48">
        <v>78.650000000000006</v>
      </c>
      <c r="O176" s="48"/>
      <c r="P176" s="48">
        <v>61.8</v>
      </c>
      <c r="Q176" s="314">
        <f t="shared" si="21"/>
        <v>70.221666666666664</v>
      </c>
      <c r="R176" s="315" t="str">
        <f t="shared" si="22"/>
        <v>NO</v>
      </c>
      <c r="S176" s="316" t="str">
        <f t="shared" si="19"/>
        <v>Alto</v>
      </c>
    </row>
    <row r="177" spans="1:20" s="116" customFormat="1" ht="32.1" customHeight="1">
      <c r="A177" s="568" t="s">
        <v>108</v>
      </c>
      <c r="B177" s="565" t="s">
        <v>321</v>
      </c>
      <c r="C177" s="565" t="s">
        <v>3861</v>
      </c>
      <c r="D177" s="304">
        <v>100</v>
      </c>
      <c r="E177" s="48"/>
      <c r="F177" s="48"/>
      <c r="G177" s="48"/>
      <c r="H177" s="48"/>
      <c r="I177" s="48"/>
      <c r="J177" s="48">
        <v>0</v>
      </c>
      <c r="K177" s="48">
        <v>0</v>
      </c>
      <c r="L177" s="48">
        <v>0</v>
      </c>
      <c r="M177" s="48">
        <v>33.700000000000003</v>
      </c>
      <c r="N177" s="48">
        <v>0</v>
      </c>
      <c r="O177" s="47">
        <v>0</v>
      </c>
      <c r="P177" s="47">
        <v>67.790000000000006</v>
      </c>
      <c r="Q177" s="314">
        <f t="shared" si="21"/>
        <v>14.498571428571429</v>
      </c>
      <c r="R177" s="315" t="str">
        <f t="shared" si="22"/>
        <v>NO</v>
      </c>
      <c r="S177" s="316" t="str">
        <f t="shared" si="19"/>
        <v>Medio</v>
      </c>
    </row>
    <row r="178" spans="1:20" s="116" customFormat="1" ht="32.1" customHeight="1">
      <c r="A178" s="568" t="s">
        <v>108</v>
      </c>
      <c r="B178" s="565" t="s">
        <v>319</v>
      </c>
      <c r="C178" s="565" t="s">
        <v>320</v>
      </c>
      <c r="D178" s="304">
        <v>207</v>
      </c>
      <c r="E178" s="48"/>
      <c r="F178" s="48"/>
      <c r="G178" s="48"/>
      <c r="H178" s="48"/>
      <c r="I178" s="48"/>
      <c r="J178" s="48">
        <v>16.850000000000001</v>
      </c>
      <c r="K178" s="48">
        <v>0</v>
      </c>
      <c r="L178" s="48">
        <v>0</v>
      </c>
      <c r="M178" s="48">
        <v>0</v>
      </c>
      <c r="N178" s="48">
        <v>0</v>
      </c>
      <c r="O178" s="47">
        <v>0</v>
      </c>
      <c r="P178" s="47">
        <v>0</v>
      </c>
      <c r="Q178" s="314">
        <f t="shared" si="21"/>
        <v>2.4071428571428575</v>
      </c>
      <c r="R178" s="315" t="str">
        <f t="shared" si="22"/>
        <v>SI</v>
      </c>
      <c r="S178" s="316" t="str">
        <f t="shared" si="19"/>
        <v>Sin Riesgo</v>
      </c>
    </row>
    <row r="179" spans="1:20" s="116" customFormat="1" ht="32.1" customHeight="1">
      <c r="A179" s="568" t="s">
        <v>108</v>
      </c>
      <c r="B179" s="565" t="s">
        <v>464</v>
      </c>
      <c r="C179" s="565" t="s">
        <v>317</v>
      </c>
      <c r="D179" s="304">
        <v>141</v>
      </c>
      <c r="E179" s="48"/>
      <c r="F179" s="48"/>
      <c r="G179" s="48"/>
      <c r="H179" s="48"/>
      <c r="I179" s="48"/>
      <c r="J179" s="48">
        <v>0</v>
      </c>
      <c r="K179" s="48">
        <v>0</v>
      </c>
      <c r="L179" s="48">
        <v>0</v>
      </c>
      <c r="M179" s="48">
        <v>16.850000000000001</v>
      </c>
      <c r="N179" s="48">
        <v>78.650000000000006</v>
      </c>
      <c r="O179" s="47">
        <v>0</v>
      </c>
      <c r="P179" s="47">
        <v>0</v>
      </c>
      <c r="Q179" s="314">
        <f t="shared" si="21"/>
        <v>13.642857142857142</v>
      </c>
      <c r="R179" s="315" t="str">
        <f t="shared" si="22"/>
        <v>NO</v>
      </c>
      <c r="S179" s="316" t="str">
        <f t="shared" si="19"/>
        <v>Bajo</v>
      </c>
    </row>
    <row r="180" spans="1:20" s="116" customFormat="1" ht="32.1" customHeight="1">
      <c r="A180" s="568" t="s">
        <v>108</v>
      </c>
      <c r="B180" s="565" t="s">
        <v>465</v>
      </c>
      <c r="C180" s="565" t="s">
        <v>318</v>
      </c>
      <c r="D180" s="304">
        <v>112</v>
      </c>
      <c r="E180" s="48"/>
      <c r="F180" s="48"/>
      <c r="G180" s="48"/>
      <c r="H180" s="48"/>
      <c r="I180" s="48"/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7">
        <v>0</v>
      </c>
      <c r="P180" s="47">
        <v>16.850000000000001</v>
      </c>
      <c r="Q180" s="314">
        <f t="shared" si="21"/>
        <v>2.4071428571428575</v>
      </c>
      <c r="R180" s="315" t="str">
        <f t="shared" si="22"/>
        <v>SI</v>
      </c>
      <c r="S180" s="316" t="str">
        <f t="shared" si="19"/>
        <v>Sin Riesgo</v>
      </c>
    </row>
    <row r="181" spans="1:20" s="116" customFormat="1" ht="32.1" customHeight="1">
      <c r="A181" s="568" t="s">
        <v>108</v>
      </c>
      <c r="B181" s="565" t="s">
        <v>95</v>
      </c>
      <c r="C181" s="569" t="s">
        <v>316</v>
      </c>
      <c r="D181" s="304">
        <v>18</v>
      </c>
      <c r="E181" s="48"/>
      <c r="F181" s="48"/>
      <c r="G181" s="48"/>
      <c r="H181" s="48"/>
      <c r="I181" s="48"/>
      <c r="J181" s="48">
        <v>61.79</v>
      </c>
      <c r="K181" s="48">
        <v>16.850000000000001</v>
      </c>
      <c r="L181" s="48">
        <v>61.79</v>
      </c>
      <c r="M181" s="48">
        <v>78.650000000000006</v>
      </c>
      <c r="N181" s="48">
        <v>85.39</v>
      </c>
      <c r="O181" s="47">
        <v>16.850000000000001</v>
      </c>
      <c r="P181" s="47">
        <v>78.650000000000006</v>
      </c>
      <c r="Q181" s="314">
        <f t="shared" si="21"/>
        <v>57.138571428571431</v>
      </c>
      <c r="R181" s="315" t="str">
        <f t="shared" si="22"/>
        <v>NO</v>
      </c>
      <c r="S181" s="316" t="str">
        <f t="shared" si="19"/>
        <v>Alto</v>
      </c>
    </row>
    <row r="182" spans="1:20" s="116" customFormat="1" ht="32.1" customHeight="1">
      <c r="A182" s="404" t="s">
        <v>102</v>
      </c>
      <c r="B182" s="333" t="s">
        <v>3867</v>
      </c>
      <c r="C182" s="338" t="s">
        <v>4315</v>
      </c>
      <c r="D182" s="335">
        <v>1088</v>
      </c>
      <c r="E182" s="486">
        <v>0</v>
      </c>
      <c r="F182" s="407">
        <v>0</v>
      </c>
      <c r="G182" s="486">
        <v>0</v>
      </c>
      <c r="H182" s="486">
        <v>4.1666999999999996</v>
      </c>
      <c r="I182" s="486">
        <v>0</v>
      </c>
      <c r="J182" s="486">
        <v>0</v>
      </c>
      <c r="K182" s="486">
        <v>0</v>
      </c>
      <c r="L182" s="487">
        <v>0</v>
      </c>
      <c r="M182" s="488">
        <v>0</v>
      </c>
      <c r="N182" s="488">
        <v>0</v>
      </c>
      <c r="O182" s="486"/>
      <c r="P182" s="486">
        <v>0</v>
      </c>
      <c r="Q182" s="330">
        <f t="shared" si="21"/>
        <v>0.37879090909090907</v>
      </c>
      <c r="R182" s="331" t="str">
        <f t="shared" si="22"/>
        <v>SI</v>
      </c>
      <c r="S182" s="316" t="str">
        <f t="shared" si="19"/>
        <v>Sin Riesgo</v>
      </c>
      <c r="T182" s="151"/>
    </row>
    <row r="183" spans="1:20" s="116" customFormat="1" ht="32.1" customHeight="1">
      <c r="A183" s="404" t="s">
        <v>102</v>
      </c>
      <c r="B183" s="333" t="s">
        <v>3777</v>
      </c>
      <c r="C183" s="338" t="s">
        <v>4316</v>
      </c>
      <c r="D183" s="335">
        <v>1624</v>
      </c>
      <c r="E183" s="486">
        <v>0</v>
      </c>
      <c r="F183" s="486">
        <v>0</v>
      </c>
      <c r="G183" s="486">
        <v>0</v>
      </c>
      <c r="H183" s="486">
        <v>4.1666999999999996</v>
      </c>
      <c r="I183" s="486">
        <v>30.4</v>
      </c>
      <c r="J183" s="486">
        <v>13.5381</v>
      </c>
      <c r="K183" s="486">
        <v>1.3332999999999999</v>
      </c>
      <c r="L183" s="487">
        <v>0</v>
      </c>
      <c r="M183" s="488">
        <v>0</v>
      </c>
      <c r="N183" s="488">
        <v>5.8956999999999997</v>
      </c>
      <c r="O183" s="486"/>
      <c r="P183" s="486">
        <v>3.7332999999999998</v>
      </c>
      <c r="Q183" s="330">
        <f t="shared" si="21"/>
        <v>5.3697363636363633</v>
      </c>
      <c r="R183" s="331" t="str">
        <f t="shared" si="22"/>
        <v>NO</v>
      </c>
      <c r="S183" s="316" t="str">
        <f t="shared" si="19"/>
        <v>Bajo</v>
      </c>
      <c r="T183" s="151"/>
    </row>
    <row r="184" spans="1:20" s="116" customFormat="1" ht="32.1" customHeight="1">
      <c r="A184" s="404" t="s">
        <v>102</v>
      </c>
      <c r="B184" s="333" t="s">
        <v>3868</v>
      </c>
      <c r="C184" s="338" t="s">
        <v>4317</v>
      </c>
      <c r="D184" s="335">
        <v>235</v>
      </c>
      <c r="E184" s="486">
        <v>0</v>
      </c>
      <c r="F184" s="486">
        <v>0</v>
      </c>
      <c r="G184" s="486">
        <v>0</v>
      </c>
      <c r="H184" s="486">
        <v>0</v>
      </c>
      <c r="I184" s="486">
        <v>0</v>
      </c>
      <c r="J184" s="486">
        <v>0</v>
      </c>
      <c r="K184" s="486">
        <v>0</v>
      </c>
      <c r="L184" s="487">
        <v>0</v>
      </c>
      <c r="M184" s="488">
        <v>1</v>
      </c>
      <c r="N184" s="488">
        <v>0</v>
      </c>
      <c r="O184" s="486"/>
      <c r="P184" s="486">
        <v>0</v>
      </c>
      <c r="Q184" s="330">
        <f t="shared" si="21"/>
        <v>9.0909090909090912E-2</v>
      </c>
      <c r="R184" s="331" t="str">
        <f t="shared" si="22"/>
        <v>SI</v>
      </c>
      <c r="S184" s="316" t="str">
        <f t="shared" si="19"/>
        <v>Sin Riesgo</v>
      </c>
      <c r="T184" s="151"/>
    </row>
    <row r="185" spans="1:20" s="116" customFormat="1" ht="32.1" customHeight="1">
      <c r="A185" s="404" t="s">
        <v>102</v>
      </c>
      <c r="B185" s="333" t="s">
        <v>3869</v>
      </c>
      <c r="C185" s="338" t="s">
        <v>4318</v>
      </c>
      <c r="D185" s="335">
        <v>427</v>
      </c>
      <c r="E185" s="486">
        <v>0</v>
      </c>
      <c r="F185" s="486">
        <v>0</v>
      </c>
      <c r="G185" s="486">
        <v>0</v>
      </c>
      <c r="H185" s="486">
        <v>0</v>
      </c>
      <c r="I185" s="486">
        <v>0</v>
      </c>
      <c r="J185" s="486">
        <v>16.8</v>
      </c>
      <c r="K185" s="486">
        <v>9.1777999999999995</v>
      </c>
      <c r="L185" s="487">
        <v>0</v>
      </c>
      <c r="M185" s="488">
        <v>1.2109000000000001</v>
      </c>
      <c r="N185" s="488">
        <v>0</v>
      </c>
      <c r="O185" s="486"/>
      <c r="P185" s="486">
        <v>4.8</v>
      </c>
      <c r="Q185" s="330">
        <f t="shared" si="21"/>
        <v>2.9080636363636363</v>
      </c>
      <c r="R185" s="331" t="str">
        <f t="shared" si="22"/>
        <v>SI</v>
      </c>
      <c r="S185" s="316" t="str">
        <f t="shared" si="19"/>
        <v>Sin Riesgo</v>
      </c>
      <c r="T185" s="151"/>
    </row>
    <row r="186" spans="1:20" s="116" customFormat="1" ht="32.1" customHeight="1">
      <c r="A186" s="404" t="s">
        <v>102</v>
      </c>
      <c r="B186" s="333" t="s">
        <v>3870</v>
      </c>
      <c r="C186" s="338" t="s">
        <v>4319</v>
      </c>
      <c r="D186" s="335">
        <v>508</v>
      </c>
      <c r="E186" s="486">
        <v>11.2</v>
      </c>
      <c r="F186" s="486">
        <v>0</v>
      </c>
      <c r="G186" s="486">
        <v>0</v>
      </c>
      <c r="H186" s="486">
        <v>8.3332999999999995</v>
      </c>
      <c r="I186" s="486">
        <v>5.6</v>
      </c>
      <c r="J186" s="486">
        <v>45.866700000000002</v>
      </c>
      <c r="K186" s="486">
        <v>0</v>
      </c>
      <c r="L186" s="487">
        <v>0</v>
      </c>
      <c r="M186" s="488">
        <v>0</v>
      </c>
      <c r="N186" s="488">
        <v>0</v>
      </c>
      <c r="O186" s="486"/>
      <c r="P186" s="486">
        <v>0</v>
      </c>
      <c r="Q186" s="330">
        <f t="shared" si="21"/>
        <v>6.4545454545454541</v>
      </c>
      <c r="R186" s="331" t="str">
        <f t="shared" si="22"/>
        <v>NO</v>
      </c>
      <c r="S186" s="316" t="str">
        <f t="shared" si="19"/>
        <v>Bajo</v>
      </c>
      <c r="T186" s="151"/>
    </row>
    <row r="187" spans="1:20" s="116" customFormat="1" ht="32.1" customHeight="1">
      <c r="A187" s="404" t="s">
        <v>102</v>
      </c>
      <c r="B187" s="333" t="s">
        <v>3871</v>
      </c>
      <c r="C187" s="338" t="s">
        <v>4320</v>
      </c>
      <c r="D187" s="335">
        <v>688</v>
      </c>
      <c r="E187" s="486">
        <v>8</v>
      </c>
      <c r="F187" s="486">
        <v>0</v>
      </c>
      <c r="G187" s="486">
        <v>24</v>
      </c>
      <c r="H187" s="486">
        <v>0</v>
      </c>
      <c r="I187" s="486">
        <v>0</v>
      </c>
      <c r="J187" s="486">
        <v>0</v>
      </c>
      <c r="K187" s="486">
        <v>0</v>
      </c>
      <c r="L187" s="487">
        <v>0</v>
      </c>
      <c r="M187" s="488">
        <v>0</v>
      </c>
      <c r="N187" s="488">
        <v>0</v>
      </c>
      <c r="O187" s="486"/>
      <c r="P187" s="486">
        <v>0</v>
      </c>
      <c r="Q187" s="330">
        <f t="shared" si="21"/>
        <v>2.9090909090909092</v>
      </c>
      <c r="R187" s="331" t="str">
        <f t="shared" si="22"/>
        <v>SI</v>
      </c>
      <c r="S187" s="316" t="str">
        <f t="shared" si="19"/>
        <v>Sin Riesgo</v>
      </c>
      <c r="T187" s="151"/>
    </row>
    <row r="188" spans="1:20" s="116" customFormat="1" ht="32.1" customHeight="1">
      <c r="A188" s="404" t="s">
        <v>102</v>
      </c>
      <c r="B188" s="333" t="s">
        <v>3878</v>
      </c>
      <c r="C188" s="338" t="s">
        <v>4321</v>
      </c>
      <c r="D188" s="335">
        <v>609</v>
      </c>
      <c r="E188" s="486">
        <v>34.21</v>
      </c>
      <c r="F188" s="486">
        <v>33.6</v>
      </c>
      <c r="G188" s="486">
        <v>33.6</v>
      </c>
      <c r="H188" s="486">
        <v>18.75</v>
      </c>
      <c r="I188" s="486">
        <v>28.16</v>
      </c>
      <c r="J188" s="486">
        <v>29.76</v>
      </c>
      <c r="K188" s="486">
        <v>25.8</v>
      </c>
      <c r="L188" s="487">
        <v>9.6</v>
      </c>
      <c r="M188" s="488">
        <v>17.602499999999999</v>
      </c>
      <c r="N188" s="488">
        <v>26.344999999999999</v>
      </c>
      <c r="O188" s="486"/>
      <c r="P188" s="407">
        <v>27.6</v>
      </c>
      <c r="Q188" s="330">
        <f t="shared" si="21"/>
        <v>25.911590909090911</v>
      </c>
      <c r="R188" s="331" t="str">
        <f t="shared" si="22"/>
        <v>NO</v>
      </c>
      <c r="S188" s="316" t="str">
        <f t="shared" si="19"/>
        <v>Medio</v>
      </c>
      <c r="T188" s="151"/>
    </row>
    <row r="189" spans="1:20" s="116" customFormat="1" ht="32.1" customHeight="1">
      <c r="A189" s="404" t="s">
        <v>102</v>
      </c>
      <c r="B189" s="333" t="s">
        <v>403</v>
      </c>
      <c r="C189" s="338" t="s">
        <v>3779</v>
      </c>
      <c r="D189" s="335">
        <v>379</v>
      </c>
      <c r="E189" s="486">
        <v>11.2</v>
      </c>
      <c r="F189" s="486">
        <v>33.6</v>
      </c>
      <c r="G189" s="486">
        <v>0</v>
      </c>
      <c r="H189" s="486">
        <v>0</v>
      </c>
      <c r="I189" s="486">
        <v>0</v>
      </c>
      <c r="J189" s="489">
        <v>5.2083000000000004</v>
      </c>
      <c r="K189" s="487">
        <v>0</v>
      </c>
      <c r="L189" s="487">
        <v>0</v>
      </c>
      <c r="M189" s="489">
        <v>5.7252000000000001</v>
      </c>
      <c r="N189" s="487">
        <v>0</v>
      </c>
      <c r="O189" s="486"/>
      <c r="P189" s="486">
        <v>0</v>
      </c>
      <c r="Q189" s="330">
        <f t="shared" si="21"/>
        <v>5.0666818181818183</v>
      </c>
      <c r="R189" s="331" t="str">
        <f t="shared" si="22"/>
        <v>NO</v>
      </c>
      <c r="S189" s="316" t="str">
        <f t="shared" si="19"/>
        <v>Bajo</v>
      </c>
      <c r="T189" s="151"/>
    </row>
    <row r="190" spans="1:20" s="116" customFormat="1" ht="32.1" customHeight="1">
      <c r="A190" s="404" t="s">
        <v>102</v>
      </c>
      <c r="B190" s="333" t="s">
        <v>3778</v>
      </c>
      <c r="C190" s="338" t="s">
        <v>4322</v>
      </c>
      <c r="D190" s="329">
        <f>1622+102+145+206</f>
        <v>2075</v>
      </c>
      <c r="E190" s="486">
        <v>0</v>
      </c>
      <c r="F190" s="526"/>
      <c r="G190" s="526"/>
      <c r="H190" s="486">
        <v>0</v>
      </c>
      <c r="I190" s="486">
        <v>4.3974000000000002</v>
      </c>
      <c r="J190" s="486">
        <v>0</v>
      </c>
      <c r="K190" s="487">
        <v>0</v>
      </c>
      <c r="L190" s="487">
        <v>0</v>
      </c>
      <c r="M190" s="487">
        <v>0</v>
      </c>
      <c r="N190" s="487">
        <v>0.62109999999999999</v>
      </c>
      <c r="O190" s="486"/>
      <c r="P190" s="486">
        <v>0</v>
      </c>
      <c r="Q190" s="330">
        <f t="shared" si="21"/>
        <v>0.55761111111111117</v>
      </c>
      <c r="R190" s="331" t="str">
        <f t="shared" si="22"/>
        <v>SI</v>
      </c>
      <c r="S190" s="316" t="str">
        <f t="shared" si="19"/>
        <v>Sin Riesgo</v>
      </c>
      <c r="T190" s="151"/>
    </row>
    <row r="191" spans="1:20" s="116" customFormat="1" ht="32.1" customHeight="1">
      <c r="A191" s="562" t="s">
        <v>102</v>
      </c>
      <c r="B191" s="570" t="s">
        <v>4174</v>
      </c>
      <c r="C191" s="567" t="s">
        <v>4323</v>
      </c>
      <c r="D191" s="329">
        <v>2728</v>
      </c>
      <c r="E191" s="48">
        <v>0</v>
      </c>
      <c r="F191" s="48"/>
      <c r="G191" s="48"/>
      <c r="H191" s="48"/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4.6584000000000003</v>
      </c>
      <c r="P191" s="48">
        <v>0</v>
      </c>
      <c r="Q191" s="330">
        <f>AVERAGE(E191:P191)</f>
        <v>0.51760000000000006</v>
      </c>
      <c r="R191" s="331" t="str">
        <f t="shared" si="22"/>
        <v>SI</v>
      </c>
      <c r="S191" s="316" t="str">
        <f t="shared" si="19"/>
        <v>Sin Riesgo</v>
      </c>
      <c r="T191" s="151"/>
    </row>
    <row r="192" spans="1:20" s="116" customFormat="1" ht="32.1" customHeight="1">
      <c r="A192" s="404" t="s">
        <v>102</v>
      </c>
      <c r="B192" s="333" t="s">
        <v>3873</v>
      </c>
      <c r="C192" s="338" t="s">
        <v>4324</v>
      </c>
      <c r="D192" s="335">
        <v>624</v>
      </c>
      <c r="E192" s="486">
        <v>6</v>
      </c>
      <c r="F192" s="486">
        <v>0</v>
      </c>
      <c r="G192" s="486">
        <v>0</v>
      </c>
      <c r="H192" s="486">
        <v>0</v>
      </c>
      <c r="I192" s="486">
        <v>12.5533</v>
      </c>
      <c r="J192" s="486">
        <v>0</v>
      </c>
      <c r="K192" s="487">
        <v>0</v>
      </c>
      <c r="L192" s="487">
        <v>0</v>
      </c>
      <c r="M192" s="487">
        <v>1.6667000000000001</v>
      </c>
      <c r="N192" s="487">
        <v>33.6</v>
      </c>
      <c r="O192" s="486"/>
      <c r="P192" s="486">
        <v>0</v>
      </c>
      <c r="Q192" s="330">
        <f t="shared" si="21"/>
        <v>4.8927272727272726</v>
      </c>
      <c r="R192" s="331" t="str">
        <f t="shared" si="22"/>
        <v>SI</v>
      </c>
      <c r="S192" s="316" t="str">
        <f t="shared" si="19"/>
        <v>Sin Riesgo</v>
      </c>
      <c r="T192" s="151"/>
    </row>
    <row r="193" spans="1:20" s="116" customFormat="1" ht="32.1" customHeight="1">
      <c r="A193" s="404" t="s">
        <v>102</v>
      </c>
      <c r="B193" s="333" t="s">
        <v>3872</v>
      </c>
      <c r="C193" s="338" t="s">
        <v>4325</v>
      </c>
      <c r="D193" s="335">
        <v>697</v>
      </c>
      <c r="E193" s="486">
        <v>0</v>
      </c>
      <c r="F193" s="486">
        <v>0</v>
      </c>
      <c r="G193" s="486">
        <v>0</v>
      </c>
      <c r="H193" s="486">
        <v>0</v>
      </c>
      <c r="I193" s="486">
        <v>0.57140000000000002</v>
      </c>
      <c r="J193" s="486">
        <v>14.4917</v>
      </c>
      <c r="K193" s="486">
        <v>15.8667</v>
      </c>
      <c r="L193" s="487">
        <v>0</v>
      </c>
      <c r="M193" s="488">
        <v>4.8076999999999996</v>
      </c>
      <c r="N193" s="488">
        <v>0</v>
      </c>
      <c r="O193" s="486"/>
      <c r="P193" s="486"/>
      <c r="Q193" s="330">
        <f t="shared" si="21"/>
        <v>3.5737499999999995</v>
      </c>
      <c r="R193" s="331" t="str">
        <f t="shared" si="22"/>
        <v>SI</v>
      </c>
      <c r="S193" s="316" t="str">
        <f t="shared" si="19"/>
        <v>Sin Riesgo</v>
      </c>
      <c r="T193" s="151"/>
    </row>
    <row r="194" spans="1:20" s="116" customFormat="1" ht="32.1" customHeight="1">
      <c r="A194" s="404" t="s">
        <v>102</v>
      </c>
      <c r="B194" s="333" t="s">
        <v>3875</v>
      </c>
      <c r="C194" s="338" t="s">
        <v>4326</v>
      </c>
      <c r="D194" s="335">
        <v>828</v>
      </c>
      <c r="E194" s="486">
        <v>8</v>
      </c>
      <c r="F194" s="486">
        <v>0</v>
      </c>
      <c r="G194" s="486">
        <v>0</v>
      </c>
      <c r="H194" s="486">
        <v>0</v>
      </c>
      <c r="I194" s="486">
        <v>0</v>
      </c>
      <c r="J194" s="486">
        <v>0</v>
      </c>
      <c r="K194" s="486">
        <v>0</v>
      </c>
      <c r="L194" s="487">
        <v>0</v>
      </c>
      <c r="M194" s="488">
        <v>0</v>
      </c>
      <c r="N194" s="488">
        <v>0</v>
      </c>
      <c r="O194" s="486"/>
      <c r="P194" s="486">
        <v>0</v>
      </c>
      <c r="Q194" s="330">
        <f t="shared" si="21"/>
        <v>0.72727272727272729</v>
      </c>
      <c r="R194" s="331" t="str">
        <f t="shared" si="22"/>
        <v>SI</v>
      </c>
      <c r="S194" s="316" t="str">
        <f t="shared" si="19"/>
        <v>Sin Riesgo</v>
      </c>
      <c r="T194" s="151"/>
    </row>
    <row r="195" spans="1:20" s="116" customFormat="1" ht="32.1" customHeight="1">
      <c r="A195" s="404" t="s">
        <v>102</v>
      </c>
      <c r="B195" s="333" t="s">
        <v>4178</v>
      </c>
      <c r="C195" s="338" t="s">
        <v>4327</v>
      </c>
      <c r="D195" s="335">
        <v>2113</v>
      </c>
      <c r="E195" s="486">
        <v>0</v>
      </c>
      <c r="F195" s="486">
        <v>0</v>
      </c>
      <c r="G195" s="486">
        <v>0</v>
      </c>
      <c r="H195" s="486">
        <v>0</v>
      </c>
      <c r="I195" s="486">
        <v>0</v>
      </c>
      <c r="J195" s="486">
        <v>0</v>
      </c>
      <c r="K195" s="486">
        <v>0</v>
      </c>
      <c r="L195" s="487">
        <v>0</v>
      </c>
      <c r="M195" s="488">
        <v>0</v>
      </c>
      <c r="N195" s="488">
        <v>0</v>
      </c>
      <c r="O195" s="486"/>
      <c r="P195" s="486">
        <v>0</v>
      </c>
      <c r="Q195" s="330">
        <f t="shared" si="21"/>
        <v>0</v>
      </c>
      <c r="R195" s="331" t="str">
        <f t="shared" si="22"/>
        <v>SI</v>
      </c>
      <c r="S195" s="316" t="str">
        <f t="shared" si="19"/>
        <v>Sin Riesgo</v>
      </c>
      <c r="T195" s="151"/>
    </row>
    <row r="196" spans="1:20" s="116" customFormat="1" ht="32.1" customHeight="1">
      <c r="A196" s="404" t="s">
        <v>102</v>
      </c>
      <c r="B196" s="333" t="s">
        <v>404</v>
      </c>
      <c r="C196" s="338" t="s">
        <v>4328</v>
      </c>
      <c r="D196" s="335">
        <v>311</v>
      </c>
      <c r="E196" s="486">
        <v>0</v>
      </c>
      <c r="F196" s="486">
        <v>0</v>
      </c>
      <c r="G196" s="486">
        <v>0</v>
      </c>
      <c r="H196" s="486">
        <v>0</v>
      </c>
      <c r="I196" s="486">
        <v>0</v>
      </c>
      <c r="J196" s="486">
        <v>0</v>
      </c>
      <c r="K196" s="486">
        <v>2.0832999999999999</v>
      </c>
      <c r="L196" s="487">
        <v>0</v>
      </c>
      <c r="M196" s="488">
        <v>0</v>
      </c>
      <c r="N196" s="488">
        <v>0</v>
      </c>
      <c r="O196" s="486"/>
      <c r="P196" s="486">
        <v>0</v>
      </c>
      <c r="Q196" s="330">
        <f t="shared" si="21"/>
        <v>0.18939090909090908</v>
      </c>
      <c r="R196" s="331" t="str">
        <f t="shared" si="22"/>
        <v>SI</v>
      </c>
      <c r="S196" s="316" t="str">
        <f t="shared" si="19"/>
        <v>Sin Riesgo</v>
      </c>
      <c r="T196" s="151"/>
    </row>
    <row r="197" spans="1:20" s="116" customFormat="1" ht="32.1" customHeight="1">
      <c r="A197" s="404" t="s">
        <v>102</v>
      </c>
      <c r="B197" s="333" t="s">
        <v>3874</v>
      </c>
      <c r="C197" s="338" t="s">
        <v>4329</v>
      </c>
      <c r="D197" s="335">
        <v>212</v>
      </c>
      <c r="E197" s="486">
        <v>33.6</v>
      </c>
      <c r="F197" s="486">
        <v>0</v>
      </c>
      <c r="G197" s="486">
        <v>0</v>
      </c>
      <c r="H197" s="486">
        <v>5.8333000000000004</v>
      </c>
      <c r="I197" s="486">
        <v>0</v>
      </c>
      <c r="J197" s="486">
        <v>0</v>
      </c>
      <c r="K197" s="486">
        <v>0</v>
      </c>
      <c r="L197" s="487">
        <v>0</v>
      </c>
      <c r="M197" s="488">
        <v>0.3846</v>
      </c>
      <c r="N197" s="488">
        <v>0</v>
      </c>
      <c r="O197" s="486"/>
      <c r="P197" s="486">
        <v>0</v>
      </c>
      <c r="Q197" s="330">
        <f t="shared" si="21"/>
        <v>3.619809090909091</v>
      </c>
      <c r="R197" s="331" t="str">
        <f t="shared" si="22"/>
        <v>SI</v>
      </c>
      <c r="S197" s="316" t="str">
        <f t="shared" si="19"/>
        <v>Sin Riesgo</v>
      </c>
      <c r="T197" s="151"/>
    </row>
    <row r="198" spans="1:20" s="116" customFormat="1" ht="32.1" customHeight="1">
      <c r="A198" s="404" t="s">
        <v>102</v>
      </c>
      <c r="B198" s="333" t="s">
        <v>4177</v>
      </c>
      <c r="C198" s="338" t="s">
        <v>4330</v>
      </c>
      <c r="D198" s="335">
        <v>178</v>
      </c>
      <c r="E198" s="486">
        <v>0</v>
      </c>
      <c r="F198" s="486">
        <v>0</v>
      </c>
      <c r="G198" s="486">
        <v>0</v>
      </c>
      <c r="H198" s="486">
        <v>0</v>
      </c>
      <c r="I198" s="486">
        <v>0</v>
      </c>
      <c r="J198" s="486">
        <v>0</v>
      </c>
      <c r="K198" s="486">
        <v>0</v>
      </c>
      <c r="L198" s="487">
        <v>0</v>
      </c>
      <c r="M198" s="488">
        <v>0</v>
      </c>
      <c r="N198" s="488">
        <v>0</v>
      </c>
      <c r="O198" s="486"/>
      <c r="P198" s="486">
        <v>0</v>
      </c>
      <c r="Q198" s="330">
        <f t="shared" si="21"/>
        <v>0</v>
      </c>
      <c r="R198" s="331" t="str">
        <f t="shared" si="22"/>
        <v>SI</v>
      </c>
      <c r="S198" s="316" t="str">
        <f t="shared" si="19"/>
        <v>Sin Riesgo</v>
      </c>
      <c r="T198" s="151"/>
    </row>
    <row r="199" spans="1:20" s="116" customFormat="1" ht="32.1" customHeight="1">
      <c r="A199" s="404" t="s">
        <v>102</v>
      </c>
      <c r="B199" s="333" t="s">
        <v>3876</v>
      </c>
      <c r="C199" s="338" t="s">
        <v>4331</v>
      </c>
      <c r="D199" s="335">
        <v>1078</v>
      </c>
      <c r="E199" s="486">
        <v>0</v>
      </c>
      <c r="F199" s="486">
        <v>0</v>
      </c>
      <c r="G199" s="486">
        <v>0</v>
      </c>
      <c r="H199" s="486">
        <v>10.416700000000001</v>
      </c>
      <c r="I199" s="486">
        <v>0</v>
      </c>
      <c r="J199" s="486">
        <v>0</v>
      </c>
      <c r="K199" s="486">
        <v>0</v>
      </c>
      <c r="L199" s="487">
        <v>10.416700000000001</v>
      </c>
      <c r="M199" s="488">
        <v>0</v>
      </c>
      <c r="N199" s="488">
        <v>25.933</v>
      </c>
      <c r="O199" s="486"/>
      <c r="P199" s="486">
        <v>0</v>
      </c>
      <c r="Q199" s="330">
        <f t="shared" si="21"/>
        <v>4.2514909090909097</v>
      </c>
      <c r="R199" s="331" t="str">
        <f t="shared" si="22"/>
        <v>SI</v>
      </c>
      <c r="S199" s="316" t="str">
        <f t="shared" si="19"/>
        <v>Sin Riesgo</v>
      </c>
      <c r="T199" s="151"/>
    </row>
    <row r="200" spans="1:20" s="116" customFormat="1" ht="32.1" customHeight="1">
      <c r="A200" s="404" t="s">
        <v>102</v>
      </c>
      <c r="B200" s="333" t="s">
        <v>4175</v>
      </c>
      <c r="C200" s="338" t="s">
        <v>4332</v>
      </c>
      <c r="D200" s="335">
        <v>627</v>
      </c>
      <c r="E200" s="486">
        <v>15.4901</v>
      </c>
      <c r="F200" s="486">
        <v>0</v>
      </c>
      <c r="G200" s="486">
        <v>3</v>
      </c>
      <c r="H200" s="486">
        <v>0</v>
      </c>
      <c r="I200" s="486">
        <v>27.466699999999999</v>
      </c>
      <c r="J200" s="486">
        <v>8.5740999999999996</v>
      </c>
      <c r="K200" s="486">
        <v>0</v>
      </c>
      <c r="L200" s="487">
        <v>10.416700000000001</v>
      </c>
      <c r="M200" s="488">
        <v>2.5640999999999998</v>
      </c>
      <c r="N200" s="488">
        <v>16.8</v>
      </c>
      <c r="O200" s="486"/>
      <c r="P200" s="486">
        <v>0</v>
      </c>
      <c r="Q200" s="330">
        <f t="shared" si="21"/>
        <v>7.6646999999999998</v>
      </c>
      <c r="R200" s="331" t="str">
        <f t="shared" si="22"/>
        <v>NO</v>
      </c>
      <c r="S200" s="316" t="str">
        <f t="shared" si="19"/>
        <v>Bajo</v>
      </c>
      <c r="T200" s="151"/>
    </row>
    <row r="201" spans="1:20" s="116" customFormat="1" ht="32.1" customHeight="1">
      <c r="A201" s="404" t="s">
        <v>102</v>
      </c>
      <c r="B201" s="333" t="s">
        <v>4176</v>
      </c>
      <c r="C201" s="338" t="s">
        <v>4333</v>
      </c>
      <c r="D201" s="335">
        <v>4363</v>
      </c>
      <c r="E201" s="486">
        <v>0</v>
      </c>
      <c r="F201" s="486">
        <v>0</v>
      </c>
      <c r="G201" s="486">
        <v>0</v>
      </c>
      <c r="H201" s="486">
        <v>0</v>
      </c>
      <c r="I201" s="486">
        <v>0</v>
      </c>
      <c r="J201" s="486">
        <v>0</v>
      </c>
      <c r="K201" s="486">
        <v>0</v>
      </c>
      <c r="L201" s="487">
        <v>0</v>
      </c>
      <c r="M201" s="488">
        <v>0.5</v>
      </c>
      <c r="N201" s="488">
        <v>0</v>
      </c>
      <c r="O201" s="486"/>
      <c r="P201" s="486">
        <v>0</v>
      </c>
      <c r="Q201" s="330">
        <f t="shared" si="21"/>
        <v>4.5454545454545456E-2</v>
      </c>
      <c r="R201" s="331" t="str">
        <f t="shared" si="22"/>
        <v>SI</v>
      </c>
      <c r="S201" s="316" t="str">
        <f t="shared" si="19"/>
        <v>Sin Riesgo</v>
      </c>
      <c r="T201" s="151"/>
    </row>
    <row r="202" spans="1:20" s="116" customFormat="1" ht="32.1" customHeight="1">
      <c r="A202" s="404" t="s">
        <v>102</v>
      </c>
      <c r="B202" s="333" t="s">
        <v>3877</v>
      </c>
      <c r="C202" s="338" t="s">
        <v>4334</v>
      </c>
      <c r="D202" s="335">
        <v>640</v>
      </c>
      <c r="E202" s="486">
        <v>0</v>
      </c>
      <c r="F202" s="486">
        <v>24</v>
      </c>
      <c r="G202" s="486">
        <v>24</v>
      </c>
      <c r="H202" s="486">
        <v>0</v>
      </c>
      <c r="I202" s="486">
        <v>1.6</v>
      </c>
      <c r="J202" s="486">
        <v>7.4267000000000003</v>
      </c>
      <c r="K202" s="486">
        <v>0</v>
      </c>
      <c r="L202" s="487">
        <v>0</v>
      </c>
      <c r="M202" s="488">
        <v>14.5175</v>
      </c>
      <c r="N202" s="488">
        <v>22.4</v>
      </c>
      <c r="O202" s="486"/>
      <c r="P202" s="486">
        <v>0</v>
      </c>
      <c r="Q202" s="330">
        <f t="shared" si="21"/>
        <v>8.5403818181818174</v>
      </c>
      <c r="R202" s="331" t="str">
        <f t="shared" si="22"/>
        <v>NO</v>
      </c>
      <c r="S202" s="316" t="str">
        <f t="shared" si="19"/>
        <v>Bajo</v>
      </c>
      <c r="T202" s="151"/>
    </row>
    <row r="203" spans="1:20" s="116" customFormat="1" ht="32.1" customHeight="1">
      <c r="A203" s="404" t="s">
        <v>102</v>
      </c>
      <c r="B203" s="334" t="s">
        <v>3780</v>
      </c>
      <c r="C203" s="490" t="s">
        <v>4335</v>
      </c>
      <c r="D203" s="335">
        <v>296</v>
      </c>
      <c r="E203" s="486">
        <v>0</v>
      </c>
      <c r="F203" s="486">
        <v>0</v>
      </c>
      <c r="G203" s="486">
        <v>0</v>
      </c>
      <c r="H203" s="486">
        <v>0</v>
      </c>
      <c r="I203" s="486">
        <v>0</v>
      </c>
      <c r="J203" s="486">
        <v>3.6269999999999998</v>
      </c>
      <c r="K203" s="486">
        <v>0</v>
      </c>
      <c r="L203" s="487">
        <v>0</v>
      </c>
      <c r="M203" s="488">
        <v>0</v>
      </c>
      <c r="N203" s="488">
        <v>0</v>
      </c>
      <c r="O203" s="486"/>
      <c r="P203" s="486">
        <v>0</v>
      </c>
      <c r="Q203" s="330">
        <f t="shared" si="21"/>
        <v>0.3297272727272727</v>
      </c>
      <c r="R203" s="331" t="str">
        <f t="shared" si="22"/>
        <v>SI</v>
      </c>
      <c r="S203" s="316" t="str">
        <f t="shared" si="19"/>
        <v>Sin Riesgo</v>
      </c>
      <c r="T203" s="151"/>
    </row>
    <row r="204" spans="1:20" s="116" customFormat="1" ht="32.1" customHeight="1">
      <c r="A204" s="444" t="s">
        <v>107</v>
      </c>
      <c r="B204" s="332" t="s">
        <v>87</v>
      </c>
      <c r="C204" s="337" t="s">
        <v>309</v>
      </c>
      <c r="D204" s="346">
        <v>767</v>
      </c>
      <c r="E204" s="47"/>
      <c r="F204" s="47"/>
      <c r="G204" s="47"/>
      <c r="H204" s="47">
        <v>0</v>
      </c>
      <c r="I204" s="47">
        <v>15</v>
      </c>
      <c r="J204" s="47">
        <v>15</v>
      </c>
      <c r="K204" s="47">
        <v>15</v>
      </c>
      <c r="L204" s="47">
        <v>0</v>
      </c>
      <c r="M204" s="47">
        <v>15</v>
      </c>
      <c r="N204" s="47">
        <v>0</v>
      </c>
      <c r="O204" s="47">
        <v>0</v>
      </c>
      <c r="P204" s="47">
        <v>0</v>
      </c>
      <c r="Q204" s="314">
        <f>AVERAGE(E204:P204)</f>
        <v>6.666666666666667</v>
      </c>
      <c r="R204" s="315" t="str">
        <f t="shared" si="22"/>
        <v>NO</v>
      </c>
      <c r="S204" s="316" t="str">
        <f t="shared" ref="S204:S210" si="23">IF(Q204&lt;5,"Sin Riesgo",IF(Q204 &lt;=14,"Bajo",IF(Q204&lt;=35,"Medio",IF(Q204&lt;=80,"Alto","Inviable Sanitariamente"))))</f>
        <v>Bajo</v>
      </c>
    </row>
    <row r="205" spans="1:20" s="116" customFormat="1" ht="32.1" customHeight="1">
      <c r="A205" s="444" t="s">
        <v>107</v>
      </c>
      <c r="B205" s="332" t="s">
        <v>88</v>
      </c>
      <c r="C205" s="332" t="s">
        <v>310</v>
      </c>
      <c r="D205" s="346">
        <v>317</v>
      </c>
      <c r="E205" s="47"/>
      <c r="F205" s="47"/>
      <c r="G205" s="47"/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314">
        <f>AVERAGE(E205:P205)</f>
        <v>0</v>
      </c>
      <c r="R205" s="315" t="str">
        <f t="shared" si="22"/>
        <v>SI</v>
      </c>
      <c r="S205" s="316" t="str">
        <f t="shared" si="23"/>
        <v>Sin Riesgo</v>
      </c>
    </row>
    <row r="206" spans="1:20" s="116" customFormat="1" ht="32.1" customHeight="1">
      <c r="A206" s="444" t="s">
        <v>107</v>
      </c>
      <c r="B206" s="332" t="s">
        <v>444</v>
      </c>
      <c r="C206" s="332" t="s">
        <v>311</v>
      </c>
      <c r="D206" s="346">
        <v>412</v>
      </c>
      <c r="E206" s="47"/>
      <c r="F206" s="47"/>
      <c r="G206" s="47"/>
      <c r="H206" s="47">
        <v>0</v>
      </c>
      <c r="I206" s="47">
        <v>0</v>
      </c>
      <c r="J206" s="47">
        <v>15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314">
        <f>AVERAGE(E206:P206)</f>
        <v>1.6666666666666667</v>
      </c>
      <c r="R206" s="315" t="str">
        <f t="shared" si="22"/>
        <v>SI</v>
      </c>
      <c r="S206" s="316" t="str">
        <f t="shared" si="23"/>
        <v>Sin Riesgo</v>
      </c>
    </row>
    <row r="207" spans="1:20" s="116" customFormat="1" ht="32.1" customHeight="1">
      <c r="A207" s="444" t="s">
        <v>107</v>
      </c>
      <c r="B207" s="332" t="s">
        <v>89</v>
      </c>
      <c r="C207" s="332" t="s">
        <v>312</v>
      </c>
      <c r="D207" s="346">
        <v>733</v>
      </c>
      <c r="E207" s="47"/>
      <c r="F207" s="47"/>
      <c r="G207" s="47"/>
      <c r="H207" s="47">
        <v>0</v>
      </c>
      <c r="I207" s="47">
        <v>21</v>
      </c>
      <c r="J207" s="47">
        <v>15</v>
      </c>
      <c r="K207" s="47">
        <v>25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314">
        <f>AVERAGE(E207:P207)</f>
        <v>6.7777777777777777</v>
      </c>
      <c r="R207" s="315" t="str">
        <f t="shared" si="22"/>
        <v>NO</v>
      </c>
      <c r="S207" s="316" t="str">
        <f t="shared" si="23"/>
        <v>Bajo</v>
      </c>
    </row>
    <row r="208" spans="1:20" s="116" customFormat="1" ht="32.1" customHeight="1">
      <c r="A208" s="444" t="s">
        <v>107</v>
      </c>
      <c r="B208" s="332" t="s">
        <v>90</v>
      </c>
      <c r="C208" s="332" t="s">
        <v>4470</v>
      </c>
      <c r="D208" s="346">
        <v>94</v>
      </c>
      <c r="E208" s="47"/>
      <c r="F208" s="47"/>
      <c r="G208" s="47"/>
      <c r="H208" s="47">
        <v>0</v>
      </c>
      <c r="I208" s="47">
        <v>0</v>
      </c>
      <c r="J208" s="47">
        <v>15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314">
        <f>AVERAGE(E208:P208)</f>
        <v>1.6666666666666667</v>
      </c>
      <c r="R208" s="315" t="str">
        <f t="shared" si="22"/>
        <v>SI</v>
      </c>
      <c r="S208" s="316" t="str">
        <f t="shared" si="23"/>
        <v>Sin Riesgo</v>
      </c>
    </row>
    <row r="209" spans="1:19" s="116" customFormat="1" ht="32.1" customHeight="1">
      <c r="A209" s="444" t="s">
        <v>107</v>
      </c>
      <c r="B209" s="332" t="s">
        <v>91</v>
      </c>
      <c r="C209" s="332" t="s">
        <v>313</v>
      </c>
      <c r="D209" s="346">
        <v>411</v>
      </c>
      <c r="E209" s="47"/>
      <c r="F209" s="47"/>
      <c r="G209" s="47"/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314">
        <f t="shared" si="21"/>
        <v>0</v>
      </c>
      <c r="R209" s="315" t="str">
        <f t="shared" si="22"/>
        <v>SI</v>
      </c>
      <c r="S209" s="316" t="str">
        <f t="shared" si="23"/>
        <v>Sin Riesgo</v>
      </c>
    </row>
    <row r="210" spans="1:19" s="116" customFormat="1" ht="41.25" customHeight="1">
      <c r="A210" s="444" t="s">
        <v>107</v>
      </c>
      <c r="B210" s="332" t="s">
        <v>92</v>
      </c>
      <c r="C210" s="332" t="s">
        <v>4179</v>
      </c>
      <c r="D210" s="346">
        <v>510</v>
      </c>
      <c r="E210" s="47"/>
      <c r="F210" s="47"/>
      <c r="G210" s="47"/>
      <c r="H210" s="47">
        <v>0</v>
      </c>
      <c r="I210" s="47">
        <v>0</v>
      </c>
      <c r="J210" s="47">
        <v>15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314">
        <f t="shared" si="21"/>
        <v>1.6666666666666667</v>
      </c>
      <c r="R210" s="315" t="str">
        <f t="shared" si="22"/>
        <v>SI</v>
      </c>
      <c r="S210" s="316" t="str">
        <f t="shared" si="23"/>
        <v>Sin Riesgo</v>
      </c>
    </row>
    <row r="211" spans="1:19" ht="37.5" customHeight="1"/>
    <row r="212" spans="1:19" ht="37.5" customHeight="1"/>
    <row r="213" spans="1:19" ht="32.1" customHeight="1">
      <c r="C213" s="500"/>
      <c r="D213" s="514"/>
      <c r="E213" s="500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0"/>
      <c r="S213" s="500"/>
    </row>
    <row r="214" spans="1:19" ht="32.1" customHeight="1">
      <c r="A214" s="262" t="s">
        <v>3908</v>
      </c>
      <c r="B214" s="261" t="s">
        <v>3967</v>
      </c>
      <c r="C214" s="688"/>
      <c r="D214" s="689"/>
      <c r="E214" s="689"/>
      <c r="F214" s="689"/>
      <c r="G214" s="689"/>
      <c r="H214" s="689"/>
      <c r="I214" s="689"/>
      <c r="J214" s="689"/>
      <c r="K214" s="689"/>
      <c r="L214" s="689"/>
      <c r="M214" s="689"/>
      <c r="N214" s="689"/>
      <c r="O214" s="689"/>
      <c r="P214" s="689"/>
      <c r="Q214" s="689"/>
      <c r="R214" s="689"/>
      <c r="S214" s="689"/>
    </row>
    <row r="215" spans="1:19" ht="32.1" customHeight="1">
      <c r="A215" s="256" t="s">
        <v>3881</v>
      </c>
      <c r="B215" s="264">
        <f>COUNTIF(E11:P210,"&lt;=5")</f>
        <v>424</v>
      </c>
      <c r="C215" s="690"/>
      <c r="D215" s="691"/>
      <c r="E215" s="691"/>
      <c r="F215" s="691"/>
      <c r="G215" s="691"/>
      <c r="H215" s="691"/>
      <c r="I215" s="691"/>
      <c r="J215" s="691"/>
      <c r="K215" s="691"/>
      <c r="L215" s="691"/>
      <c r="M215" s="691"/>
      <c r="N215" s="691"/>
      <c r="O215" s="691"/>
      <c r="P215" s="691"/>
      <c r="Q215" s="691"/>
      <c r="R215" s="691"/>
      <c r="S215" s="691"/>
    </row>
    <row r="216" spans="1:19" ht="32.1" customHeight="1">
      <c r="A216" s="257" t="s">
        <v>3882</v>
      </c>
      <c r="B216" s="264">
        <f>COUNTIFS(E11:P210,"&gt;5",E11:P210,"&lt;=14")</f>
        <v>51</v>
      </c>
      <c r="C216" s="690"/>
      <c r="D216" s="691"/>
      <c r="E216" s="691"/>
      <c r="F216" s="691"/>
      <c r="G216" s="691"/>
      <c r="H216" s="691"/>
      <c r="I216" s="691"/>
      <c r="J216" s="691"/>
      <c r="K216" s="691"/>
      <c r="L216" s="691"/>
      <c r="M216" s="691"/>
      <c r="N216" s="691"/>
      <c r="O216" s="691"/>
      <c r="P216" s="691"/>
      <c r="Q216" s="691"/>
      <c r="R216" s="691"/>
      <c r="S216" s="691"/>
    </row>
    <row r="217" spans="1:19" ht="32.1" customHeight="1">
      <c r="A217" s="258" t="s">
        <v>3883</v>
      </c>
      <c r="B217" s="264">
        <f>COUNTIFS(E11:P210,"&gt;14",E11:P210,"&lt;=35")</f>
        <v>196</v>
      </c>
      <c r="C217" s="500"/>
      <c r="D217" s="514"/>
      <c r="E217" s="515"/>
      <c r="F217" s="515"/>
      <c r="G217" s="515"/>
      <c r="H217" s="516"/>
      <c r="I217" s="516"/>
      <c r="J217" s="516"/>
      <c r="K217" s="516"/>
      <c r="L217" s="516"/>
      <c r="M217" s="516"/>
      <c r="N217" s="516"/>
      <c r="O217" s="516"/>
      <c r="P217" s="517"/>
      <c r="Q217" s="517"/>
      <c r="R217" s="518"/>
      <c r="S217" s="517"/>
    </row>
    <row r="218" spans="1:19" ht="32.1" customHeight="1">
      <c r="A218" s="259" t="s">
        <v>3884</v>
      </c>
      <c r="B218" s="264">
        <f>COUNTIFS(E11:P210,"&gt;35",E11:P210,"&lt;=80")</f>
        <v>123</v>
      </c>
      <c r="C218" s="500"/>
      <c r="D218" s="514"/>
      <c r="E218" s="515"/>
      <c r="F218" s="515"/>
      <c r="G218" s="515"/>
      <c r="H218" s="516"/>
      <c r="I218" s="516"/>
      <c r="J218" s="516"/>
      <c r="K218" s="516"/>
      <c r="L218" s="516"/>
      <c r="M218" s="516"/>
      <c r="N218" s="516"/>
      <c r="O218" s="516"/>
      <c r="P218" s="516"/>
      <c r="Q218" s="517"/>
      <c r="R218" s="518"/>
      <c r="S218" s="517"/>
    </row>
    <row r="219" spans="1:19" ht="32.1" customHeight="1">
      <c r="A219" s="260" t="s">
        <v>3885</v>
      </c>
      <c r="B219" s="264">
        <f>COUNTIFS(E11:P210,"&gt;80",E11:P210,"&lt;=100")</f>
        <v>90</v>
      </c>
      <c r="C219" s="500"/>
      <c r="D219" s="514"/>
      <c r="E219" s="515"/>
      <c r="F219" s="515"/>
      <c r="G219" s="515"/>
      <c r="H219" s="516"/>
      <c r="I219" s="516"/>
      <c r="J219" s="516"/>
      <c r="K219" s="516"/>
      <c r="L219" s="516"/>
      <c r="M219" s="516"/>
      <c r="N219" s="516"/>
      <c r="O219" s="516"/>
      <c r="P219" s="516"/>
      <c r="Q219" s="517"/>
      <c r="R219" s="518"/>
      <c r="S219" s="517"/>
    </row>
    <row r="220" spans="1:19" ht="32.1" customHeight="1">
      <c r="A220" s="263" t="s">
        <v>3886</v>
      </c>
      <c r="B220" s="265">
        <f>COUNT(E11:P210)</f>
        <v>884</v>
      </c>
      <c r="C220" s="500"/>
      <c r="D220" s="514"/>
      <c r="E220" s="515"/>
      <c r="F220" s="515"/>
      <c r="G220" s="515"/>
      <c r="H220" s="516"/>
      <c r="I220" s="516"/>
      <c r="J220" s="516"/>
      <c r="K220" s="516"/>
      <c r="L220" s="516"/>
      <c r="M220" s="516"/>
      <c r="N220" s="516"/>
      <c r="O220" s="516"/>
      <c r="P220" s="516"/>
      <c r="Q220" s="517"/>
      <c r="R220" s="518"/>
      <c r="S220" s="517"/>
    </row>
    <row r="221" spans="1:19" ht="32.1" customHeight="1">
      <c r="A221" s="277" t="s">
        <v>3909</v>
      </c>
      <c r="B221" s="278">
        <f>B220-B215</f>
        <v>460</v>
      </c>
      <c r="C221" s="519"/>
      <c r="D221" s="494"/>
      <c r="E221" s="520"/>
      <c r="F221" s="520"/>
      <c r="G221" s="520"/>
      <c r="H221" s="517"/>
      <c r="I221" s="517"/>
      <c r="J221" s="517"/>
      <c r="K221" s="517"/>
      <c r="L221" s="517"/>
      <c r="M221" s="517"/>
      <c r="N221" s="517"/>
      <c r="O221" s="517"/>
      <c r="P221" s="516"/>
      <c r="Q221" s="517"/>
      <c r="R221" s="518"/>
      <c r="S221" s="517"/>
    </row>
    <row r="222" spans="1:19" ht="32.1" customHeight="1">
      <c r="A222" s="217"/>
      <c r="B222" s="289"/>
      <c r="C222" s="289"/>
      <c r="D222" s="289"/>
      <c r="E222" s="289"/>
      <c r="F222" s="289"/>
      <c r="G222" s="289"/>
      <c r="H222" s="218"/>
      <c r="I222" s="218"/>
      <c r="J222" s="218"/>
      <c r="K222" s="218"/>
      <c r="L222" s="218"/>
      <c r="M222" s="219"/>
      <c r="N222" s="219"/>
      <c r="O222" s="219"/>
      <c r="P222" s="219"/>
      <c r="Q222" s="215"/>
      <c r="R222" s="216"/>
      <c r="S222" s="215"/>
    </row>
    <row r="223" spans="1:19" ht="32.1" customHeight="1">
      <c r="A223" s="217"/>
      <c r="B223" s="289"/>
      <c r="C223" s="289"/>
      <c r="D223" s="289"/>
      <c r="E223" s="289"/>
      <c r="F223" s="289"/>
      <c r="G223" s="289"/>
      <c r="H223" s="218"/>
      <c r="I223" s="218"/>
      <c r="J223" s="218"/>
      <c r="K223" s="218"/>
      <c r="L223" s="218"/>
      <c r="M223" s="219"/>
      <c r="N223" s="219"/>
      <c r="O223" s="219"/>
      <c r="P223" s="219"/>
      <c r="Q223" s="215"/>
      <c r="R223" s="216"/>
      <c r="S223" s="215"/>
    </row>
    <row r="224" spans="1:19" ht="32.1" customHeight="1">
      <c r="A224" s="217"/>
      <c r="B224" s="289"/>
      <c r="C224" s="289"/>
      <c r="D224" s="289"/>
      <c r="E224" s="289"/>
      <c r="F224" s="289"/>
      <c r="G224" s="289"/>
      <c r="H224" s="218"/>
      <c r="I224" s="218"/>
      <c r="J224" s="218"/>
      <c r="K224" s="218"/>
      <c r="L224" s="218"/>
      <c r="M224" s="219"/>
      <c r="N224" s="219"/>
      <c r="O224" s="219"/>
      <c r="P224" s="219"/>
      <c r="Q224" s="215"/>
      <c r="R224" s="216"/>
      <c r="S224" s="215"/>
    </row>
    <row r="225" spans="1:19" ht="36.75" customHeight="1">
      <c r="A225" s="201"/>
      <c r="B225" s="289"/>
      <c r="C225" s="289"/>
      <c r="D225" s="289"/>
      <c r="E225" s="289"/>
      <c r="F225" s="289"/>
      <c r="G225" s="289"/>
      <c r="H225" s="81"/>
      <c r="I225" s="81"/>
      <c r="J225" s="81"/>
      <c r="K225" s="81"/>
      <c r="L225" s="81"/>
      <c r="M225" s="81"/>
      <c r="N225" s="81"/>
      <c r="O225" s="81"/>
      <c r="P225" s="81"/>
      <c r="Q225" s="82"/>
      <c r="R225" s="83"/>
      <c r="S225" s="84"/>
    </row>
    <row r="226" spans="1:19" ht="36.75" customHeight="1">
      <c r="A226" s="201"/>
      <c r="B226" s="289"/>
      <c r="C226" s="289"/>
      <c r="D226" s="289"/>
      <c r="E226" s="289"/>
      <c r="F226" s="289"/>
      <c r="G226" s="289"/>
      <c r="H226" s="81"/>
      <c r="I226" s="81"/>
      <c r="J226" s="81"/>
      <c r="K226" s="81"/>
      <c r="L226" s="81"/>
      <c r="M226" s="81"/>
      <c r="N226" s="81"/>
      <c r="O226" s="81"/>
      <c r="P226" s="81"/>
      <c r="Q226" s="82"/>
      <c r="R226" s="83"/>
      <c r="S226" s="84"/>
    </row>
    <row r="227" spans="1:19" ht="36.75" customHeight="1">
      <c r="A227" s="201"/>
      <c r="B227" s="81"/>
      <c r="C227" s="81"/>
      <c r="D227" s="93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2"/>
      <c r="R227" s="83"/>
      <c r="S227" s="84"/>
    </row>
    <row r="228" spans="1:19" ht="36.75" customHeight="1">
      <c r="A228" s="201"/>
      <c r="B228" s="81"/>
      <c r="C228" s="81"/>
      <c r="D228" s="93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2"/>
      <c r="R228" s="83"/>
      <c r="S228" s="84"/>
    </row>
    <row r="229" spans="1:19" ht="36.75" customHeight="1">
      <c r="A229" s="201"/>
      <c r="B229" s="81"/>
      <c r="C229" s="81"/>
      <c r="D229" s="93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2"/>
      <c r="R229" s="83"/>
      <c r="S229" s="84"/>
    </row>
    <row r="230" spans="1:19" ht="36.75" customHeight="1">
      <c r="A230" s="201"/>
      <c r="B230" s="81"/>
      <c r="C230" s="81"/>
      <c r="D230" s="93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2"/>
      <c r="R230" s="83"/>
      <c r="S230" s="84"/>
    </row>
  </sheetData>
  <autoFilter ref="A10:W210" xr:uid="{00000000-0009-0000-0000-000000000000}">
    <sortState ref="A12:W232">
      <sortCondition ref="A10:A232"/>
    </sortState>
  </autoFilter>
  <customSheetViews>
    <customSheetView guid="{75DD7674-E7DE-4BB1-A36D-76AA33452CB3}" scale="60" showAutoFilter="1" hiddenColumns="1">
      <pane xSplit="3" ySplit="10" topLeftCell="D11" activePane="bottomRight" state="frozenSplit"/>
      <selection pane="bottomRight" activeCell="B3" sqref="B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08" xr:uid="{00000000-0000-0000-0000-000000000000}">
        <sortState ref="A12:W210">
          <sortCondition ref="A10:A210"/>
        </sortState>
      </autoFilter>
    </customSheetView>
    <customSheetView guid="{AEDE1BDB-8710-4CDA-8488-31F49D423ACE}" scale="70" showAutoFilter="1">
      <pane xSplit="3" ySplit="10" topLeftCell="S11" activePane="bottomRight" state="frozenSplit"/>
      <selection pane="bottomRight" activeCell="S11" sqref="S1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33" xr:uid="{00000000-0000-0000-0000-000000000000}"/>
    </customSheetView>
    <customSheetView guid="{FCC3B493-4306-43B2-9C73-76324485DD47}" scale="60" showAutoFilter="1" hiddenColumns="1">
      <pane xSplit="3" ySplit="10" topLeftCell="D29" activePane="bottomRight" state="frozenSplit"/>
      <selection pane="bottomRight" activeCell="C215" sqref="C215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10" xr:uid="{00000000-0000-0000-0000-000000000000}">
        <sortState ref="A12:W210">
          <sortCondition ref="A10:A210"/>
        </sortState>
      </autoFilter>
    </customSheetView>
    <customSheetView guid="{45C8AF51-29EC-46A5-AB7F-1F0634E55D82}" scale="60" showAutoFilter="1" hiddenColumns="1">
      <pane xSplit="3" ySplit="10" topLeftCell="D95" activePane="bottomRight" state="frozenSplit"/>
      <selection pane="bottomRight" activeCell="A220" sqref="A22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208" xr:uid="{00000000-0000-0000-0000-000000000000}">
        <sortState ref="A12:W210">
          <sortCondition ref="A10:A210"/>
        </sortState>
      </autoFilter>
    </customSheetView>
  </customSheetViews>
  <mergeCells count="23">
    <mergeCell ref="C216:S216"/>
    <mergeCell ref="B1:D1"/>
    <mergeCell ref="B2:D2"/>
    <mergeCell ref="C9:C10"/>
    <mergeCell ref="A7:B7"/>
    <mergeCell ref="A9:A10"/>
    <mergeCell ref="B9:B10"/>
    <mergeCell ref="D9:D10"/>
    <mergeCell ref="S9:S10"/>
    <mergeCell ref="Q5:R6"/>
    <mergeCell ref="S5:S6"/>
    <mergeCell ref="H5:J6"/>
    <mergeCell ref="E9:P9"/>
    <mergeCell ref="R9:R10"/>
    <mergeCell ref="N5:P6"/>
    <mergeCell ref="E5:G6"/>
    <mergeCell ref="B3:D3"/>
    <mergeCell ref="A8:B8"/>
    <mergeCell ref="C214:S214"/>
    <mergeCell ref="C215:S215"/>
    <mergeCell ref="Q9:Q10"/>
    <mergeCell ref="K5:M6"/>
    <mergeCell ref="B5:C6"/>
  </mergeCells>
  <conditionalFormatting sqref="R225:R230 R186 R129:R134 R217:R221 R95:R127 R142:R144 R201:R209 R192:R199 R11:R88 R146:R179">
    <cfRule type="cellIs" dxfId="14431" priority="4502" stopIfTrue="1" operator="equal">
      <formula>"NO"</formula>
    </cfRule>
  </conditionalFormatting>
  <conditionalFormatting sqref="S225:S230 S217:S221 S129:S210 S11:S127">
    <cfRule type="cellIs" dxfId="14430" priority="4469" stopIfTrue="1" operator="equal">
      <formula>"INVIABLE SANITARIAMENTE"</formula>
    </cfRule>
  </conditionalFormatting>
  <conditionalFormatting sqref="S225:S230 S217:S221">
    <cfRule type="containsText" dxfId="14429" priority="4464" stopIfTrue="1" operator="containsText" text="INVIABLE SANITARIAMENTE">
      <formula>NOT(ISERROR(SEARCH("INVIABLE SANITARIAMENTE",S217)))</formula>
    </cfRule>
    <cfRule type="containsText" dxfId="14428" priority="4465" stopIfTrue="1" operator="containsText" text="ALTO">
      <formula>NOT(ISERROR(SEARCH("ALTO",S217)))</formula>
    </cfRule>
    <cfRule type="containsText" dxfId="14427" priority="4466" stopIfTrue="1" operator="containsText" text="MEDIO">
      <formula>NOT(ISERROR(SEARCH("MEDIO",S217)))</formula>
    </cfRule>
    <cfRule type="containsText" dxfId="14426" priority="4467" stopIfTrue="1" operator="containsText" text="BAJO">
      <formula>NOT(ISERROR(SEARCH("BAJO",S217)))</formula>
    </cfRule>
    <cfRule type="containsText" dxfId="14425" priority="4468" stopIfTrue="1" operator="containsText" text="SIN RIESGO">
      <formula>NOT(ISERROR(SEARCH("SIN RIESGO",S217)))</formula>
    </cfRule>
  </conditionalFormatting>
  <conditionalFormatting sqref="S225:S230 S217:S221 S129:S210 S11:S127">
    <cfRule type="containsText" dxfId="14424" priority="4463" stopIfTrue="1" operator="containsText" text="SIN RIESGO">
      <formula>NOT(ISERROR(SEARCH("SIN RIESGO",S11)))</formula>
    </cfRule>
  </conditionalFormatting>
  <conditionalFormatting sqref="Q225:Q230 Q126 Q183:Q187 Q189 Q120:Q122 Q124 Q90:Q99 Q130:Q133 Q112:Q118 E170:P181 Q171:Q179 Q221 E19:P19 E28:P28 E32:P32 Q11:Q40 E41:Q41 E61:P61 E68:P68 E86:P86 Q102:Q106 E122:P122 E162:P162 E191:P191 Q192 Q153:Q155 E74:P83 Q42:Q88">
    <cfRule type="containsBlanks" dxfId="14423" priority="4456" stopIfTrue="1">
      <formula>LEN(TRIM(E11))=0</formula>
    </cfRule>
    <cfRule type="cellIs" dxfId="14422" priority="4457" stopIfTrue="1" operator="between">
      <formula>80.1</formula>
      <formula>100</formula>
    </cfRule>
    <cfRule type="cellIs" dxfId="14421" priority="4458" stopIfTrue="1" operator="between">
      <formula>35.1</formula>
      <formula>80</formula>
    </cfRule>
    <cfRule type="cellIs" dxfId="14420" priority="4459" stopIfTrue="1" operator="between">
      <formula>14.1</formula>
      <formula>35</formula>
    </cfRule>
    <cfRule type="cellIs" dxfId="14419" priority="4460" stopIfTrue="1" operator="between">
      <formula>5.1</formula>
      <formula>14</formula>
    </cfRule>
    <cfRule type="cellIs" dxfId="14418" priority="4461" stopIfTrue="1" operator="between">
      <formula>0</formula>
      <formula>5</formula>
    </cfRule>
    <cfRule type="containsBlanks" dxfId="14417" priority="4462" stopIfTrue="1">
      <formula>LEN(TRIM(E11))=0</formula>
    </cfRule>
  </conditionalFormatting>
  <conditionalFormatting sqref="E61:J61 L61:P61 E19:P19 E80:J80">
    <cfRule type="containsBlanks" dxfId="14416" priority="4442" stopIfTrue="1">
      <formula>LEN(TRIM(E19))=0</formula>
    </cfRule>
    <cfRule type="cellIs" dxfId="14415" priority="4443" stopIfTrue="1" operator="between">
      <formula>79.1</formula>
      <formula>100</formula>
    </cfRule>
    <cfRule type="cellIs" dxfId="14414" priority="4444" stopIfTrue="1" operator="between">
      <formula>34.1</formula>
      <formula>79</formula>
    </cfRule>
    <cfRule type="cellIs" dxfId="14413" priority="4445" stopIfTrue="1" operator="between">
      <formula>13.1</formula>
      <formula>34</formula>
    </cfRule>
    <cfRule type="cellIs" dxfId="14412" priority="4446" stopIfTrue="1" operator="between">
      <formula>5.1</formula>
      <formula>13</formula>
    </cfRule>
    <cfRule type="cellIs" dxfId="14411" priority="4447" stopIfTrue="1" operator="between">
      <formula>0</formula>
      <formula>5</formula>
    </cfRule>
    <cfRule type="containsBlanks" dxfId="14410" priority="4448" stopIfTrue="1">
      <formula>LEN(TRIM(E19))=0</formula>
    </cfRule>
  </conditionalFormatting>
  <conditionalFormatting sqref="Q27">
    <cfRule type="containsBlanks" dxfId="14409" priority="4435" stopIfTrue="1">
      <formula>LEN(TRIM(Q27))=0</formula>
    </cfRule>
    <cfRule type="cellIs" dxfId="14408" priority="4436" stopIfTrue="1" operator="between">
      <formula>80.1</formula>
      <formula>100</formula>
    </cfRule>
    <cfRule type="cellIs" dxfId="14407" priority="4437" stopIfTrue="1" operator="between">
      <formula>35.1</formula>
      <formula>80</formula>
    </cfRule>
    <cfRule type="cellIs" dxfId="14406" priority="4438" stopIfTrue="1" operator="between">
      <formula>14.1</formula>
      <formula>35</formula>
    </cfRule>
    <cfRule type="cellIs" dxfId="14405" priority="4439" stopIfTrue="1" operator="between">
      <formula>5.1</formula>
      <formula>14</formula>
    </cfRule>
    <cfRule type="cellIs" dxfId="14404" priority="4440" stopIfTrue="1" operator="between">
      <formula>0</formula>
      <formula>5</formula>
    </cfRule>
    <cfRule type="containsBlanks" dxfId="14403" priority="4441" stopIfTrue="1">
      <formula>LEN(TRIM(Q27))=0</formula>
    </cfRule>
  </conditionalFormatting>
  <conditionalFormatting sqref="F32:Q32 Q31 Q33">
    <cfRule type="containsBlanks" dxfId="14402" priority="4407" stopIfTrue="1">
      <formula>LEN(TRIM(F31))=0</formula>
    </cfRule>
    <cfRule type="cellIs" dxfId="14401" priority="4408" stopIfTrue="1" operator="between">
      <formula>80.1</formula>
      <formula>100</formula>
    </cfRule>
    <cfRule type="cellIs" dxfId="14400" priority="4409" stopIfTrue="1" operator="between">
      <formula>35.1</formula>
      <formula>80</formula>
    </cfRule>
    <cfRule type="cellIs" dxfId="14399" priority="4410" stopIfTrue="1" operator="between">
      <formula>14.1</formula>
      <formula>35</formula>
    </cfRule>
    <cfRule type="cellIs" dxfId="14398" priority="4411" stopIfTrue="1" operator="between">
      <formula>5.1</formula>
      <formula>14</formula>
    </cfRule>
    <cfRule type="cellIs" dxfId="14397" priority="4412" stopIfTrue="1" operator="between">
      <formula>0</formula>
      <formula>5</formula>
    </cfRule>
    <cfRule type="containsBlanks" dxfId="14396" priority="4413" stopIfTrue="1">
      <formula>LEN(TRIM(F31))=0</formula>
    </cfRule>
  </conditionalFormatting>
  <conditionalFormatting sqref="E32">
    <cfRule type="containsBlanks" dxfId="14395" priority="4400" stopIfTrue="1">
      <formula>LEN(TRIM(E32))=0</formula>
    </cfRule>
    <cfRule type="cellIs" dxfId="14394" priority="4401" stopIfTrue="1" operator="between">
      <formula>80.1</formula>
      <formula>100</formula>
    </cfRule>
    <cfRule type="cellIs" dxfId="14393" priority="4402" stopIfTrue="1" operator="between">
      <formula>35.1</formula>
      <formula>80</formula>
    </cfRule>
    <cfRule type="cellIs" dxfId="14392" priority="4403" stopIfTrue="1" operator="between">
      <formula>14.1</formula>
      <formula>35</formula>
    </cfRule>
    <cfRule type="cellIs" dxfId="14391" priority="4404" stopIfTrue="1" operator="between">
      <formula>5.1</formula>
      <formula>14</formula>
    </cfRule>
    <cfRule type="cellIs" dxfId="14390" priority="4405" stopIfTrue="1" operator="between">
      <formula>0</formula>
      <formula>5</formula>
    </cfRule>
    <cfRule type="containsBlanks" dxfId="14389" priority="4406" stopIfTrue="1">
      <formula>LEN(TRIM(E32))=0</formula>
    </cfRule>
  </conditionalFormatting>
  <conditionalFormatting sqref="F28:Q28">
    <cfRule type="containsBlanks" dxfId="14388" priority="4393" stopIfTrue="1">
      <formula>LEN(TRIM(F28))=0</formula>
    </cfRule>
    <cfRule type="cellIs" dxfId="14387" priority="4394" stopIfTrue="1" operator="between">
      <formula>80.1</formula>
      <formula>100</formula>
    </cfRule>
    <cfRule type="cellIs" dxfId="14386" priority="4395" stopIfTrue="1" operator="between">
      <formula>35.1</formula>
      <formula>80</formula>
    </cfRule>
    <cfRule type="cellIs" dxfId="14385" priority="4396" stopIfTrue="1" operator="between">
      <formula>14.1</formula>
      <formula>35</formula>
    </cfRule>
    <cfRule type="cellIs" dxfId="14384" priority="4397" stopIfTrue="1" operator="between">
      <formula>5.1</formula>
      <formula>14</formula>
    </cfRule>
    <cfRule type="cellIs" dxfId="14383" priority="4398" stopIfTrue="1" operator="between">
      <formula>0</formula>
      <formula>5</formula>
    </cfRule>
    <cfRule type="containsBlanks" dxfId="14382" priority="4399" stopIfTrue="1">
      <formula>LEN(TRIM(F28))=0</formula>
    </cfRule>
  </conditionalFormatting>
  <conditionalFormatting sqref="E28">
    <cfRule type="containsBlanks" dxfId="14381" priority="4386" stopIfTrue="1">
      <formula>LEN(TRIM(E28))=0</formula>
    </cfRule>
    <cfRule type="cellIs" dxfId="14380" priority="4387" stopIfTrue="1" operator="between">
      <formula>80.1</formula>
      <formula>100</formula>
    </cfRule>
    <cfRule type="cellIs" dxfId="14379" priority="4388" stopIfTrue="1" operator="between">
      <formula>35.1</formula>
      <formula>80</formula>
    </cfRule>
    <cfRule type="cellIs" dxfId="14378" priority="4389" stopIfTrue="1" operator="between">
      <formula>14.1</formula>
      <formula>35</formula>
    </cfRule>
    <cfRule type="cellIs" dxfId="14377" priority="4390" stopIfTrue="1" operator="between">
      <formula>5.1</formula>
      <formula>14</formula>
    </cfRule>
    <cfRule type="cellIs" dxfId="14376" priority="4391" stopIfTrue="1" operator="between">
      <formula>0</formula>
      <formula>5</formula>
    </cfRule>
    <cfRule type="containsBlanks" dxfId="14375" priority="4392" stopIfTrue="1">
      <formula>LEN(TRIM(E28))=0</formula>
    </cfRule>
  </conditionalFormatting>
  <conditionalFormatting sqref="Q29">
    <cfRule type="containsBlanks" dxfId="14374" priority="4365" stopIfTrue="1">
      <formula>LEN(TRIM(Q29))=0</formula>
    </cfRule>
    <cfRule type="cellIs" dxfId="14373" priority="4366" stopIfTrue="1" operator="between">
      <formula>80.1</formula>
      <formula>100</formula>
    </cfRule>
    <cfRule type="cellIs" dxfId="14372" priority="4367" stopIfTrue="1" operator="between">
      <formula>35.1</formula>
      <formula>80</formula>
    </cfRule>
    <cfRule type="cellIs" dxfId="14371" priority="4368" stopIfTrue="1" operator="between">
      <formula>14.1</formula>
      <formula>35</formula>
    </cfRule>
    <cfRule type="cellIs" dxfId="14370" priority="4369" stopIfTrue="1" operator="between">
      <formula>5.1</formula>
      <formula>14</formula>
    </cfRule>
    <cfRule type="cellIs" dxfId="14369" priority="4370" stopIfTrue="1" operator="between">
      <formula>0</formula>
      <formula>5</formula>
    </cfRule>
    <cfRule type="containsBlanks" dxfId="14368" priority="4371" stopIfTrue="1">
      <formula>LEN(TRIM(Q29))=0</formula>
    </cfRule>
  </conditionalFormatting>
  <conditionalFormatting sqref="Q35">
    <cfRule type="containsBlanks" dxfId="14367" priority="4351" stopIfTrue="1">
      <formula>LEN(TRIM(Q35))=0</formula>
    </cfRule>
    <cfRule type="cellIs" dxfId="14366" priority="4352" stopIfTrue="1" operator="between">
      <formula>80.1</formula>
      <formula>100</formula>
    </cfRule>
    <cfRule type="cellIs" dxfId="14365" priority="4353" stopIfTrue="1" operator="between">
      <formula>35.1</formula>
      <formula>80</formula>
    </cfRule>
    <cfRule type="cellIs" dxfId="14364" priority="4354" stopIfTrue="1" operator="between">
      <formula>14.1</formula>
      <formula>35</formula>
    </cfRule>
    <cfRule type="cellIs" dxfId="14363" priority="4355" stopIfTrue="1" operator="between">
      <formula>5.1</formula>
      <formula>14</formula>
    </cfRule>
    <cfRule type="cellIs" dxfId="14362" priority="4356" stopIfTrue="1" operator="between">
      <formula>0</formula>
      <formula>5</formula>
    </cfRule>
    <cfRule type="containsBlanks" dxfId="14361" priority="4357" stopIfTrue="1">
      <formula>LEN(TRIM(Q35))=0</formula>
    </cfRule>
  </conditionalFormatting>
  <conditionalFormatting sqref="E86:J86">
    <cfRule type="containsBlanks" dxfId="14360" priority="4246" stopIfTrue="1">
      <formula>LEN(TRIM(E86))=0</formula>
    </cfRule>
    <cfRule type="cellIs" dxfId="14359" priority="4247" stopIfTrue="1" operator="between">
      <formula>79.1</formula>
      <formula>100</formula>
    </cfRule>
    <cfRule type="cellIs" dxfId="14358" priority="4248" stopIfTrue="1" operator="between">
      <formula>34.1</formula>
      <formula>79</formula>
    </cfRule>
    <cfRule type="cellIs" dxfId="14357" priority="4249" stopIfTrue="1" operator="between">
      <formula>13.1</formula>
      <formula>34</formula>
    </cfRule>
    <cfRule type="cellIs" dxfId="14356" priority="4250" stopIfTrue="1" operator="between">
      <formula>5.1</formula>
      <formula>13</formula>
    </cfRule>
    <cfRule type="cellIs" dxfId="14355" priority="4251" stopIfTrue="1" operator="between">
      <formula>0</formula>
      <formula>5</formula>
    </cfRule>
    <cfRule type="containsBlanks" dxfId="14354" priority="4252" stopIfTrue="1">
      <formula>LEN(TRIM(E86))=0</formula>
    </cfRule>
  </conditionalFormatting>
  <conditionalFormatting sqref="E79:J79">
    <cfRule type="containsBlanks" dxfId="14353" priority="3588" stopIfTrue="1">
      <formula>LEN(TRIM(E79))=0</formula>
    </cfRule>
    <cfRule type="cellIs" dxfId="14352" priority="3589" stopIfTrue="1" operator="between">
      <formula>79.1</formula>
      <formula>100</formula>
    </cfRule>
    <cfRule type="cellIs" dxfId="14351" priority="3590" stopIfTrue="1" operator="between">
      <formula>34.1</formula>
      <formula>79</formula>
    </cfRule>
    <cfRule type="cellIs" dxfId="14350" priority="3591" stopIfTrue="1" operator="between">
      <formula>13.1</formula>
      <formula>34</formula>
    </cfRule>
    <cfRule type="cellIs" dxfId="14349" priority="3592" stopIfTrue="1" operator="between">
      <formula>5.1</formula>
      <formula>13</formula>
    </cfRule>
    <cfRule type="cellIs" dxfId="14348" priority="3593" stopIfTrue="1" operator="between">
      <formula>0</formula>
      <formula>5</formula>
    </cfRule>
    <cfRule type="containsBlanks" dxfId="14347" priority="3594" stopIfTrue="1">
      <formula>LEN(TRIM(E79))=0</formula>
    </cfRule>
  </conditionalFormatting>
  <conditionalFormatting sqref="Q34">
    <cfRule type="containsBlanks" dxfId="14346" priority="3700" stopIfTrue="1">
      <formula>LEN(TRIM(Q34))=0</formula>
    </cfRule>
    <cfRule type="cellIs" dxfId="14345" priority="3701" stopIfTrue="1" operator="between">
      <formula>80.1</formula>
      <formula>100</formula>
    </cfRule>
    <cfRule type="cellIs" dxfId="14344" priority="3702" stopIfTrue="1" operator="between">
      <formula>35.1</formula>
      <formula>80</formula>
    </cfRule>
    <cfRule type="cellIs" dxfId="14343" priority="3703" stopIfTrue="1" operator="between">
      <formula>14.1</formula>
      <formula>35</formula>
    </cfRule>
    <cfRule type="cellIs" dxfId="14342" priority="3704" stopIfTrue="1" operator="between">
      <formula>5.1</formula>
      <formula>14</formula>
    </cfRule>
    <cfRule type="cellIs" dxfId="14341" priority="3705" stopIfTrue="1" operator="between">
      <formula>0</formula>
      <formula>5</formula>
    </cfRule>
    <cfRule type="containsBlanks" dxfId="14340" priority="3706" stopIfTrue="1">
      <formula>LEN(TRIM(Q34))=0</formula>
    </cfRule>
  </conditionalFormatting>
  <conditionalFormatting sqref="E68:P68">
    <cfRule type="containsBlanks" dxfId="14339" priority="4015" stopIfTrue="1">
      <formula>LEN(TRIM(E68))=0</formula>
    </cfRule>
    <cfRule type="cellIs" dxfId="14338" priority="4016" stopIfTrue="1" operator="between">
      <formula>79.1</formula>
      <formula>100</formula>
    </cfRule>
    <cfRule type="cellIs" dxfId="14337" priority="4017" stopIfTrue="1" operator="between">
      <formula>34.1</formula>
      <formula>79</formula>
    </cfRule>
    <cfRule type="cellIs" dxfId="14336" priority="4018" stopIfTrue="1" operator="between">
      <formula>13.1</formula>
      <formula>34</formula>
    </cfRule>
    <cfRule type="cellIs" dxfId="14335" priority="4019" stopIfTrue="1" operator="between">
      <formula>5.1</formula>
      <formula>13</formula>
    </cfRule>
    <cfRule type="cellIs" dxfId="14334" priority="4020" stopIfTrue="1" operator="between">
      <formula>0</formula>
      <formula>5</formula>
    </cfRule>
    <cfRule type="containsBlanks" dxfId="14333" priority="4021" stopIfTrue="1">
      <formula>LEN(TRIM(E68))=0</formula>
    </cfRule>
  </conditionalFormatting>
  <conditionalFormatting sqref="E74:P74">
    <cfRule type="containsBlanks" dxfId="14332" priority="4008" stopIfTrue="1">
      <formula>LEN(TRIM(E74))=0</formula>
    </cfRule>
    <cfRule type="cellIs" dxfId="14331" priority="4009" stopIfTrue="1" operator="between">
      <formula>79.1</formula>
      <formula>100</formula>
    </cfRule>
    <cfRule type="cellIs" dxfId="14330" priority="4010" stopIfTrue="1" operator="between">
      <formula>34.1</formula>
      <formula>79</formula>
    </cfRule>
    <cfRule type="cellIs" dxfId="14329" priority="4011" stopIfTrue="1" operator="between">
      <formula>13.1</formula>
      <formula>34</formula>
    </cfRule>
    <cfRule type="cellIs" dxfId="14328" priority="4012" stopIfTrue="1" operator="between">
      <formula>5.1</formula>
      <formula>13</formula>
    </cfRule>
    <cfRule type="cellIs" dxfId="14327" priority="4013" stopIfTrue="1" operator="between">
      <formula>0</formula>
      <formula>5</formula>
    </cfRule>
    <cfRule type="containsBlanks" dxfId="14326" priority="4014" stopIfTrue="1">
      <formula>LEN(TRIM(E74))=0</formula>
    </cfRule>
  </conditionalFormatting>
  <conditionalFormatting sqref="E75:P75">
    <cfRule type="containsBlanks" dxfId="14325" priority="4001" stopIfTrue="1">
      <formula>LEN(TRIM(E75))=0</formula>
    </cfRule>
    <cfRule type="cellIs" dxfId="14324" priority="4002" stopIfTrue="1" operator="between">
      <formula>79.1</formula>
      <formula>100</formula>
    </cfRule>
    <cfRule type="cellIs" dxfId="14323" priority="4003" stopIfTrue="1" operator="between">
      <formula>34.1</formula>
      <formula>79</formula>
    </cfRule>
    <cfRule type="cellIs" dxfId="14322" priority="4004" stopIfTrue="1" operator="between">
      <formula>13.1</formula>
      <formula>34</formula>
    </cfRule>
    <cfRule type="cellIs" dxfId="14321" priority="4005" stopIfTrue="1" operator="between">
      <formula>5.1</formula>
      <formula>13</formula>
    </cfRule>
    <cfRule type="cellIs" dxfId="14320" priority="4006" stopIfTrue="1" operator="between">
      <formula>0</formula>
      <formula>5</formula>
    </cfRule>
    <cfRule type="containsBlanks" dxfId="14319" priority="4007" stopIfTrue="1">
      <formula>LEN(TRIM(E75))=0</formula>
    </cfRule>
  </conditionalFormatting>
  <conditionalFormatting sqref="E76:P76">
    <cfRule type="containsBlanks" dxfId="14318" priority="3994" stopIfTrue="1">
      <formula>LEN(TRIM(E76))=0</formula>
    </cfRule>
    <cfRule type="cellIs" dxfId="14317" priority="3995" stopIfTrue="1" operator="between">
      <formula>79.1</formula>
      <formula>100</formula>
    </cfRule>
    <cfRule type="cellIs" dxfId="14316" priority="3996" stopIfTrue="1" operator="between">
      <formula>34.1</formula>
      <formula>79</formula>
    </cfRule>
    <cfRule type="cellIs" dxfId="14315" priority="3997" stopIfTrue="1" operator="between">
      <formula>13.1</formula>
      <formula>34</formula>
    </cfRule>
    <cfRule type="cellIs" dxfId="14314" priority="3998" stopIfTrue="1" operator="between">
      <formula>5.1</formula>
      <formula>13</formula>
    </cfRule>
    <cfRule type="cellIs" dxfId="14313" priority="3999" stopIfTrue="1" operator="between">
      <formula>0</formula>
      <formula>5</formula>
    </cfRule>
    <cfRule type="containsBlanks" dxfId="14312" priority="4000" stopIfTrue="1">
      <formula>LEN(TRIM(E76))=0</formula>
    </cfRule>
  </conditionalFormatting>
  <conditionalFormatting sqref="E77:P77">
    <cfRule type="containsBlanks" dxfId="14311" priority="3987" stopIfTrue="1">
      <formula>LEN(TRIM(E77))=0</formula>
    </cfRule>
    <cfRule type="cellIs" dxfId="14310" priority="3988" stopIfTrue="1" operator="between">
      <formula>79.1</formula>
      <formula>100</formula>
    </cfRule>
    <cfRule type="cellIs" dxfId="14309" priority="3989" stopIfTrue="1" operator="between">
      <formula>34.1</formula>
      <formula>79</formula>
    </cfRule>
    <cfRule type="cellIs" dxfId="14308" priority="3990" stopIfTrue="1" operator="between">
      <formula>13.1</formula>
      <formula>34</formula>
    </cfRule>
    <cfRule type="cellIs" dxfId="14307" priority="3991" stopIfTrue="1" operator="between">
      <formula>5.1</formula>
      <formula>13</formula>
    </cfRule>
    <cfRule type="cellIs" dxfId="14306" priority="3992" stopIfTrue="1" operator="between">
      <formula>0</formula>
      <formula>5</formula>
    </cfRule>
    <cfRule type="containsBlanks" dxfId="14305" priority="3993" stopIfTrue="1">
      <formula>LEN(TRIM(E77))=0</formula>
    </cfRule>
  </conditionalFormatting>
  <conditionalFormatting sqref="E81:P81">
    <cfRule type="containsBlanks" dxfId="14304" priority="3973" stopIfTrue="1">
      <formula>LEN(TRIM(E81))=0</formula>
    </cfRule>
    <cfRule type="cellIs" dxfId="14303" priority="3974" stopIfTrue="1" operator="between">
      <formula>79.1</formula>
      <formula>100</formula>
    </cfRule>
    <cfRule type="cellIs" dxfId="14302" priority="3975" stopIfTrue="1" operator="between">
      <formula>34.1</formula>
      <formula>79</formula>
    </cfRule>
    <cfRule type="cellIs" dxfId="14301" priority="3976" stopIfTrue="1" operator="between">
      <formula>13.1</formula>
      <formula>34</formula>
    </cfRule>
    <cfRule type="cellIs" dxfId="14300" priority="3977" stopIfTrue="1" operator="between">
      <formula>5.1</formula>
      <formula>13</formula>
    </cfRule>
    <cfRule type="cellIs" dxfId="14299" priority="3978" stopIfTrue="1" operator="between">
      <formula>0</formula>
      <formula>5</formula>
    </cfRule>
    <cfRule type="containsBlanks" dxfId="14298" priority="3979" stopIfTrue="1">
      <formula>LEN(TRIM(E81))=0</formula>
    </cfRule>
  </conditionalFormatting>
  <conditionalFormatting sqref="E82:P82">
    <cfRule type="containsBlanks" dxfId="14297" priority="3959" stopIfTrue="1">
      <formula>LEN(TRIM(E82))=0</formula>
    </cfRule>
    <cfRule type="cellIs" dxfId="14296" priority="3960" stopIfTrue="1" operator="between">
      <formula>79.1</formula>
      <formula>100</formula>
    </cfRule>
    <cfRule type="cellIs" dxfId="14295" priority="3961" stopIfTrue="1" operator="between">
      <formula>34.1</formula>
      <formula>79</formula>
    </cfRule>
    <cfRule type="cellIs" dxfId="14294" priority="3962" stopIfTrue="1" operator="between">
      <formula>13.1</formula>
      <formula>34</formula>
    </cfRule>
    <cfRule type="cellIs" dxfId="14293" priority="3963" stopIfTrue="1" operator="between">
      <formula>5.1</formula>
      <formula>13</formula>
    </cfRule>
    <cfRule type="cellIs" dxfId="14292" priority="3964" stopIfTrue="1" operator="between">
      <formula>0</formula>
      <formula>5</formula>
    </cfRule>
    <cfRule type="containsBlanks" dxfId="14291" priority="3965" stopIfTrue="1">
      <formula>LEN(TRIM(E82))=0</formula>
    </cfRule>
  </conditionalFormatting>
  <conditionalFormatting sqref="Q83">
    <cfRule type="containsBlanks" dxfId="14290" priority="3945" stopIfTrue="1">
      <formula>LEN(TRIM(Q83))=0</formula>
    </cfRule>
    <cfRule type="cellIs" dxfId="14289" priority="3946" stopIfTrue="1" operator="between">
      <formula>80.1</formula>
      <formula>100</formula>
    </cfRule>
    <cfRule type="cellIs" dxfId="14288" priority="3947" stopIfTrue="1" operator="between">
      <formula>35.1</formula>
      <formula>80</formula>
    </cfRule>
    <cfRule type="cellIs" dxfId="14287" priority="3948" stopIfTrue="1" operator="between">
      <formula>14.1</formula>
      <formula>35</formula>
    </cfRule>
    <cfRule type="cellIs" dxfId="14286" priority="3949" stopIfTrue="1" operator="between">
      <formula>5.1</formula>
      <formula>14</formula>
    </cfRule>
    <cfRule type="cellIs" dxfId="14285" priority="3950" stopIfTrue="1" operator="between">
      <formula>0</formula>
      <formula>5</formula>
    </cfRule>
    <cfRule type="containsBlanks" dxfId="14284" priority="3951" stopIfTrue="1">
      <formula>LEN(TRIM(Q83))=0</formula>
    </cfRule>
  </conditionalFormatting>
  <conditionalFormatting sqref="E83:P83">
    <cfRule type="containsBlanks" dxfId="14283" priority="3938" stopIfTrue="1">
      <formula>LEN(TRIM(E83))=0</formula>
    </cfRule>
    <cfRule type="cellIs" dxfId="14282" priority="3939" stopIfTrue="1" operator="between">
      <formula>79.1</formula>
      <formula>100</formula>
    </cfRule>
    <cfRule type="cellIs" dxfId="14281" priority="3940" stopIfTrue="1" operator="between">
      <formula>34.1</formula>
      <formula>79</formula>
    </cfRule>
    <cfRule type="cellIs" dxfId="14280" priority="3941" stopIfTrue="1" operator="between">
      <formula>13.1</formula>
      <formula>34</formula>
    </cfRule>
    <cfRule type="cellIs" dxfId="14279" priority="3942" stopIfTrue="1" operator="between">
      <formula>5.1</formula>
      <formula>13</formula>
    </cfRule>
    <cfRule type="cellIs" dxfId="14278" priority="3943" stopIfTrue="1" operator="between">
      <formula>0</formula>
      <formula>5</formula>
    </cfRule>
    <cfRule type="containsBlanks" dxfId="14277" priority="3944" stopIfTrue="1">
      <formula>LEN(TRIM(E83))=0</formula>
    </cfRule>
  </conditionalFormatting>
  <conditionalFormatting sqref="Q98">
    <cfRule type="containsBlanks" dxfId="14276" priority="3882" stopIfTrue="1">
      <formula>LEN(TRIM(Q98))=0</formula>
    </cfRule>
    <cfRule type="cellIs" dxfId="14275" priority="3883" stopIfTrue="1" operator="between">
      <formula>80.1</formula>
      <formula>100</formula>
    </cfRule>
    <cfRule type="cellIs" dxfId="14274" priority="3884" stopIfTrue="1" operator="between">
      <formula>35.1</formula>
      <formula>80</formula>
    </cfRule>
    <cfRule type="cellIs" dxfId="14273" priority="3885" stopIfTrue="1" operator="between">
      <formula>14.1</formula>
      <formula>35</formula>
    </cfRule>
    <cfRule type="cellIs" dxfId="14272" priority="3886" stopIfTrue="1" operator="between">
      <formula>5.1</formula>
      <formula>14</formula>
    </cfRule>
    <cfRule type="cellIs" dxfId="14271" priority="3887" stopIfTrue="1" operator="between">
      <formula>0</formula>
      <formula>5</formula>
    </cfRule>
    <cfRule type="containsBlanks" dxfId="14270" priority="3888" stopIfTrue="1">
      <formula>LEN(TRIM(Q98))=0</formula>
    </cfRule>
  </conditionalFormatting>
  <conditionalFormatting sqref="Q97">
    <cfRule type="containsBlanks" dxfId="14269" priority="3875" stopIfTrue="1">
      <formula>LEN(TRIM(Q97))=0</formula>
    </cfRule>
    <cfRule type="cellIs" dxfId="14268" priority="3876" stopIfTrue="1" operator="between">
      <formula>80.1</formula>
      <formula>100</formula>
    </cfRule>
    <cfRule type="cellIs" dxfId="14267" priority="3877" stopIfTrue="1" operator="between">
      <formula>35.1</formula>
      <formula>80</formula>
    </cfRule>
    <cfRule type="cellIs" dxfId="14266" priority="3878" stopIfTrue="1" operator="between">
      <formula>14.1</formula>
      <formula>35</formula>
    </cfRule>
    <cfRule type="cellIs" dxfId="14265" priority="3879" stopIfTrue="1" operator="between">
      <formula>5.1</formula>
      <formula>14</formula>
    </cfRule>
    <cfRule type="cellIs" dxfId="14264" priority="3880" stopIfTrue="1" operator="between">
      <formula>0</formula>
      <formula>5</formula>
    </cfRule>
    <cfRule type="containsBlanks" dxfId="14263" priority="3881" stopIfTrue="1">
      <formula>LEN(TRIM(Q97))=0</formula>
    </cfRule>
  </conditionalFormatting>
  <conditionalFormatting sqref="Q30">
    <cfRule type="containsBlanks" dxfId="14262" priority="3714" stopIfTrue="1">
      <formula>LEN(TRIM(Q30))=0</formula>
    </cfRule>
    <cfRule type="cellIs" dxfId="14261" priority="3715" stopIfTrue="1" operator="between">
      <formula>80.1</formula>
      <formula>100</formula>
    </cfRule>
    <cfRule type="cellIs" dxfId="14260" priority="3716" stopIfTrue="1" operator="between">
      <formula>35.1</formula>
      <formula>80</formula>
    </cfRule>
    <cfRule type="cellIs" dxfId="14259" priority="3717" stopIfTrue="1" operator="between">
      <formula>14.1</formula>
      <formula>35</formula>
    </cfRule>
    <cfRule type="cellIs" dxfId="14258" priority="3718" stopIfTrue="1" operator="between">
      <formula>5.1</formula>
      <formula>14</formula>
    </cfRule>
    <cfRule type="cellIs" dxfId="14257" priority="3719" stopIfTrue="1" operator="between">
      <formula>0</formula>
      <formula>5</formula>
    </cfRule>
    <cfRule type="containsBlanks" dxfId="14256" priority="3720" stopIfTrue="1">
      <formula>LEN(TRIM(Q30))=0</formula>
    </cfRule>
  </conditionalFormatting>
  <conditionalFormatting sqref="E221:O221">
    <cfRule type="containsBlanks" dxfId="14255" priority="3035" stopIfTrue="1">
      <formula>LEN(TRIM(E221))=0</formula>
    </cfRule>
    <cfRule type="cellIs" dxfId="14254" priority="3036" stopIfTrue="1" operator="between">
      <formula>80.1</formula>
      <formula>100</formula>
    </cfRule>
    <cfRule type="cellIs" dxfId="14253" priority="3037" stopIfTrue="1" operator="between">
      <formula>35.1</formula>
      <formula>80</formula>
    </cfRule>
    <cfRule type="cellIs" dxfId="14252" priority="3038" stopIfTrue="1" operator="between">
      <formula>14.1</formula>
      <formula>35</formula>
    </cfRule>
    <cfRule type="cellIs" dxfId="14251" priority="3039" stopIfTrue="1" operator="between">
      <formula>5.1</formula>
      <formula>14</formula>
    </cfRule>
    <cfRule type="cellIs" dxfId="14250" priority="3040" stopIfTrue="1" operator="between">
      <formula>0</formula>
      <formula>5</formula>
    </cfRule>
    <cfRule type="containsBlanks" dxfId="14249" priority="3041" stopIfTrue="1">
      <formula>LEN(TRIM(E221))=0</formula>
    </cfRule>
  </conditionalFormatting>
  <conditionalFormatting sqref="Q87:Q88">
    <cfRule type="containsBlanks" dxfId="14248" priority="3490" stopIfTrue="1">
      <formula>LEN(TRIM(Q87))=0</formula>
    </cfRule>
    <cfRule type="cellIs" dxfId="14247" priority="3491" stopIfTrue="1" operator="between">
      <formula>80.1</formula>
      <formula>100</formula>
    </cfRule>
    <cfRule type="cellIs" dxfId="14246" priority="3492" stopIfTrue="1" operator="between">
      <formula>35.1</formula>
      <formula>80</formula>
    </cfRule>
    <cfRule type="cellIs" dxfId="14245" priority="3493" stopIfTrue="1" operator="between">
      <formula>14.1</formula>
      <formula>35</formula>
    </cfRule>
    <cfRule type="cellIs" dxfId="14244" priority="3494" stopIfTrue="1" operator="between">
      <formula>5.1</formula>
      <formula>14</formula>
    </cfRule>
    <cfRule type="cellIs" dxfId="14243" priority="3495" stopIfTrue="1" operator="between">
      <formula>0</formula>
      <formula>5</formula>
    </cfRule>
    <cfRule type="containsBlanks" dxfId="14242" priority="3496" stopIfTrue="1">
      <formula>LEN(TRIM(Q87))=0</formula>
    </cfRule>
  </conditionalFormatting>
  <conditionalFormatting sqref="Q78">
    <cfRule type="containsBlanks" dxfId="14241" priority="3623" stopIfTrue="1">
      <formula>LEN(TRIM(Q78))=0</formula>
    </cfRule>
    <cfRule type="cellIs" dxfId="14240" priority="3624" stopIfTrue="1" operator="between">
      <formula>80.1</formula>
      <formula>100</formula>
    </cfRule>
    <cfRule type="cellIs" dxfId="14239" priority="3625" stopIfTrue="1" operator="between">
      <formula>35.1</formula>
      <formula>80</formula>
    </cfRule>
    <cfRule type="cellIs" dxfId="14238" priority="3626" stopIfTrue="1" operator="between">
      <formula>14.1</formula>
      <formula>35</formula>
    </cfRule>
    <cfRule type="cellIs" dxfId="14237" priority="3627" stopIfTrue="1" operator="between">
      <formula>5.1</formula>
      <formula>14</formula>
    </cfRule>
    <cfRule type="cellIs" dxfId="14236" priority="3628" stopIfTrue="1" operator="between">
      <formula>0</formula>
      <formula>5</formula>
    </cfRule>
    <cfRule type="containsBlanks" dxfId="14235" priority="3629" stopIfTrue="1">
      <formula>LEN(TRIM(Q78))=0</formula>
    </cfRule>
  </conditionalFormatting>
  <conditionalFormatting sqref="E78:J78">
    <cfRule type="containsBlanks" dxfId="14234" priority="3616" stopIfTrue="1">
      <formula>LEN(TRIM(E78))=0</formula>
    </cfRule>
    <cfRule type="cellIs" dxfId="14233" priority="3617" stopIfTrue="1" operator="between">
      <formula>79.1</formula>
      <formula>100</formula>
    </cfRule>
    <cfRule type="cellIs" dxfId="14232" priority="3618" stopIfTrue="1" operator="between">
      <formula>34.1</formula>
      <formula>79</formula>
    </cfRule>
    <cfRule type="cellIs" dxfId="14231" priority="3619" stopIfTrue="1" operator="between">
      <formula>13.1</formula>
      <formula>34</formula>
    </cfRule>
    <cfRule type="cellIs" dxfId="14230" priority="3620" stopIfTrue="1" operator="between">
      <formula>5.1</formula>
      <formula>13</formula>
    </cfRule>
    <cfRule type="cellIs" dxfId="14229" priority="3621" stopIfTrue="1" operator="between">
      <formula>0</formula>
      <formula>5</formula>
    </cfRule>
    <cfRule type="containsBlanks" dxfId="14228" priority="3622" stopIfTrue="1">
      <formula>LEN(TRIM(E78))=0</formula>
    </cfRule>
  </conditionalFormatting>
  <conditionalFormatting sqref="Q79">
    <cfRule type="containsBlanks" dxfId="14227" priority="3595" stopIfTrue="1">
      <formula>LEN(TRIM(Q79))=0</formula>
    </cfRule>
    <cfRule type="cellIs" dxfId="14226" priority="3596" stopIfTrue="1" operator="between">
      <formula>80.1</formula>
      <formula>100</formula>
    </cfRule>
    <cfRule type="cellIs" dxfId="14225" priority="3597" stopIfTrue="1" operator="between">
      <formula>35.1</formula>
      <formula>80</formula>
    </cfRule>
    <cfRule type="cellIs" dxfId="14224" priority="3598" stopIfTrue="1" operator="between">
      <formula>14.1</formula>
      <formula>35</formula>
    </cfRule>
    <cfRule type="cellIs" dxfId="14223" priority="3599" stopIfTrue="1" operator="between">
      <formula>5.1</formula>
      <formula>14</formula>
    </cfRule>
    <cfRule type="cellIs" dxfId="14222" priority="3600" stopIfTrue="1" operator="between">
      <formula>0</formula>
      <formula>5</formula>
    </cfRule>
    <cfRule type="containsBlanks" dxfId="14221" priority="3601" stopIfTrue="1">
      <formula>LEN(TRIM(Q79))=0</formula>
    </cfRule>
  </conditionalFormatting>
  <conditionalFormatting sqref="Q47:Q49">
    <cfRule type="containsBlanks" dxfId="14220" priority="3497" stopIfTrue="1">
      <formula>LEN(TRIM(Q47))=0</formula>
    </cfRule>
    <cfRule type="cellIs" dxfId="14219" priority="3498" stopIfTrue="1" operator="between">
      <formula>80.1</formula>
      <formula>100</formula>
    </cfRule>
    <cfRule type="cellIs" dxfId="14218" priority="3499" stopIfTrue="1" operator="between">
      <formula>35.1</formula>
      <formula>80</formula>
    </cfRule>
    <cfRule type="cellIs" dxfId="14217" priority="3500" stopIfTrue="1" operator="between">
      <formula>14.1</formula>
      <formula>35</formula>
    </cfRule>
    <cfRule type="cellIs" dxfId="14216" priority="3501" stopIfTrue="1" operator="between">
      <formula>5.1</formula>
      <formula>14</formula>
    </cfRule>
    <cfRule type="cellIs" dxfId="14215" priority="3502" stopIfTrue="1" operator="between">
      <formula>0</formula>
      <formula>5</formula>
    </cfRule>
    <cfRule type="containsBlanks" dxfId="14214" priority="3503" stopIfTrue="1">
      <formula>LEN(TRIM(Q47))=0</formula>
    </cfRule>
  </conditionalFormatting>
  <conditionalFormatting sqref="Q58">
    <cfRule type="containsBlanks" dxfId="14213" priority="3476" stopIfTrue="1">
      <formula>LEN(TRIM(Q58))=0</formula>
    </cfRule>
    <cfRule type="cellIs" dxfId="14212" priority="3477" stopIfTrue="1" operator="between">
      <formula>80.1</formula>
      <formula>100</formula>
    </cfRule>
    <cfRule type="cellIs" dxfId="14211" priority="3478" stopIfTrue="1" operator="between">
      <formula>35.1</formula>
      <formula>80</formula>
    </cfRule>
    <cfRule type="cellIs" dxfId="14210" priority="3479" stopIfTrue="1" operator="between">
      <formula>14.1</formula>
      <formula>35</formula>
    </cfRule>
    <cfRule type="cellIs" dxfId="14209" priority="3480" stopIfTrue="1" operator="between">
      <formula>5.1</formula>
      <formula>14</formula>
    </cfRule>
    <cfRule type="cellIs" dxfId="14208" priority="3481" stopIfTrue="1" operator="between">
      <formula>0</formula>
      <formula>5</formula>
    </cfRule>
    <cfRule type="containsBlanks" dxfId="14207" priority="3482" stopIfTrue="1">
      <formula>LEN(TRIM(Q58))=0</formula>
    </cfRule>
  </conditionalFormatting>
  <conditionalFormatting sqref="Q100 Q109">
    <cfRule type="containsBlanks" dxfId="14206" priority="3439" stopIfTrue="1">
      <formula>LEN(TRIM(Q100))=0</formula>
    </cfRule>
    <cfRule type="cellIs" dxfId="14205" priority="3440" stopIfTrue="1" operator="between">
      <formula>80.1</formula>
      <formula>100</formula>
    </cfRule>
    <cfRule type="cellIs" dxfId="14204" priority="3441" stopIfTrue="1" operator="between">
      <formula>35.1</formula>
      <formula>80</formula>
    </cfRule>
    <cfRule type="cellIs" dxfId="14203" priority="3442" stopIfTrue="1" operator="between">
      <formula>14.1</formula>
      <formula>35</formula>
    </cfRule>
    <cfRule type="cellIs" dxfId="14202" priority="3443" stopIfTrue="1" operator="between">
      <formula>5.1</formula>
      <formula>14</formula>
    </cfRule>
    <cfRule type="cellIs" dxfId="14201" priority="3444" stopIfTrue="1" operator="between">
      <formula>0</formula>
      <formula>5</formula>
    </cfRule>
    <cfRule type="containsBlanks" dxfId="14200" priority="3445" stopIfTrue="1">
      <formula>LEN(TRIM(Q100))=0</formula>
    </cfRule>
  </conditionalFormatting>
  <conditionalFormatting sqref="Q27">
    <cfRule type="containsBlanks" dxfId="14199" priority="3418" stopIfTrue="1">
      <formula>LEN(TRIM(Q27))=0</formula>
    </cfRule>
    <cfRule type="cellIs" dxfId="14198" priority="3419" stopIfTrue="1" operator="between">
      <formula>80.1</formula>
      <formula>100</formula>
    </cfRule>
    <cfRule type="cellIs" dxfId="14197" priority="3420" stopIfTrue="1" operator="between">
      <formula>35.1</formula>
      <formula>80</formula>
    </cfRule>
    <cfRule type="cellIs" dxfId="14196" priority="3421" stopIfTrue="1" operator="between">
      <formula>14.1</formula>
      <formula>35</formula>
    </cfRule>
    <cfRule type="cellIs" dxfId="14195" priority="3422" stopIfTrue="1" operator="between">
      <formula>5.1</formula>
      <formula>14</formula>
    </cfRule>
    <cfRule type="cellIs" dxfId="14194" priority="3423" stopIfTrue="1" operator="between">
      <formula>0</formula>
      <formula>5</formula>
    </cfRule>
    <cfRule type="containsBlanks" dxfId="14193" priority="3424" stopIfTrue="1">
      <formula>LEN(TRIM(Q27))=0</formula>
    </cfRule>
  </conditionalFormatting>
  <conditionalFormatting sqref="Q29">
    <cfRule type="containsBlanks" dxfId="14192" priority="3404" stopIfTrue="1">
      <formula>LEN(TRIM(Q29))=0</formula>
    </cfRule>
    <cfRule type="cellIs" dxfId="14191" priority="3405" stopIfTrue="1" operator="between">
      <formula>80.1</formula>
      <formula>100</formula>
    </cfRule>
    <cfRule type="cellIs" dxfId="14190" priority="3406" stopIfTrue="1" operator="between">
      <formula>35.1</formula>
      <formula>80</formula>
    </cfRule>
    <cfRule type="cellIs" dxfId="14189" priority="3407" stopIfTrue="1" operator="between">
      <formula>14.1</formula>
      <formula>35</formula>
    </cfRule>
    <cfRule type="cellIs" dxfId="14188" priority="3408" stopIfTrue="1" operator="between">
      <formula>5.1</formula>
      <formula>14</formula>
    </cfRule>
    <cfRule type="cellIs" dxfId="14187" priority="3409" stopIfTrue="1" operator="between">
      <formula>0</formula>
      <formula>5</formula>
    </cfRule>
    <cfRule type="containsBlanks" dxfId="14186" priority="3410" stopIfTrue="1">
      <formula>LEN(TRIM(Q29))=0</formula>
    </cfRule>
  </conditionalFormatting>
  <conditionalFormatting sqref="Q35">
    <cfRule type="containsBlanks" dxfId="14185" priority="3394" stopIfTrue="1">
      <formula>LEN(TRIM(Q35))=0</formula>
    </cfRule>
    <cfRule type="cellIs" dxfId="14184" priority="3395" stopIfTrue="1" operator="between">
      <formula>80.1</formula>
      <formula>100</formula>
    </cfRule>
    <cfRule type="cellIs" dxfId="14183" priority="3396" stopIfTrue="1" operator="between">
      <formula>35.1</formula>
      <formula>80</formula>
    </cfRule>
    <cfRule type="cellIs" dxfId="14182" priority="3397" stopIfTrue="1" operator="between">
      <formula>14.1</formula>
      <formula>35</formula>
    </cfRule>
    <cfRule type="cellIs" dxfId="14181" priority="3398" stopIfTrue="1" operator="between">
      <formula>5.1</formula>
      <formula>14</formula>
    </cfRule>
    <cfRule type="cellIs" dxfId="14180" priority="3399" stopIfTrue="1" operator="between">
      <formula>0</formula>
      <formula>5</formula>
    </cfRule>
    <cfRule type="containsBlanks" dxfId="14179" priority="3400" stopIfTrue="1">
      <formula>LEN(TRIM(Q35))=0</formula>
    </cfRule>
  </conditionalFormatting>
  <conditionalFormatting sqref="R210">
    <cfRule type="cellIs" dxfId="14178" priority="3358" stopIfTrue="1" operator="equal">
      <formula>"NO"</formula>
    </cfRule>
  </conditionalFormatting>
  <conditionalFormatting sqref="R210">
    <cfRule type="cellIs" dxfId="14177" priority="3357" stopIfTrue="1" operator="equal">
      <formula>"NO"</formula>
    </cfRule>
  </conditionalFormatting>
  <conditionalFormatting sqref="R210">
    <cfRule type="cellIs" dxfId="14176" priority="3356" stopIfTrue="1" operator="equal">
      <formula>"NO"</formula>
    </cfRule>
  </conditionalFormatting>
  <conditionalFormatting sqref="Q107">
    <cfRule type="containsBlanks" dxfId="14175" priority="3284" stopIfTrue="1">
      <formula>LEN(TRIM(Q107))=0</formula>
    </cfRule>
    <cfRule type="cellIs" dxfId="14174" priority="3285" stopIfTrue="1" operator="between">
      <formula>80.1</formula>
      <formula>100</formula>
    </cfRule>
    <cfRule type="cellIs" dxfId="14173" priority="3286" stopIfTrue="1" operator="between">
      <formula>35.1</formula>
      <formula>80</formula>
    </cfRule>
    <cfRule type="cellIs" dxfId="14172" priority="3287" stopIfTrue="1" operator="between">
      <formula>14.1</formula>
      <formula>35</formula>
    </cfRule>
    <cfRule type="cellIs" dxfId="14171" priority="3288" stopIfTrue="1" operator="between">
      <formula>5.1</formula>
      <formula>14</formula>
    </cfRule>
    <cfRule type="cellIs" dxfId="14170" priority="3289" stopIfTrue="1" operator="between">
      <formula>0</formula>
      <formula>5</formula>
    </cfRule>
    <cfRule type="containsBlanks" dxfId="14169" priority="3290" stopIfTrue="1">
      <formula>LEN(TRIM(Q107))=0</formula>
    </cfRule>
  </conditionalFormatting>
  <conditionalFormatting sqref="Q108">
    <cfRule type="containsBlanks" dxfId="14168" priority="3267" stopIfTrue="1">
      <formula>LEN(TRIM(Q108))=0</formula>
    </cfRule>
    <cfRule type="cellIs" dxfId="14167" priority="3268" stopIfTrue="1" operator="between">
      <formula>80.1</formula>
      <formula>100</formula>
    </cfRule>
    <cfRule type="cellIs" dxfId="14166" priority="3269" stopIfTrue="1" operator="between">
      <formula>35.1</formula>
      <formula>80</formula>
    </cfRule>
    <cfRule type="cellIs" dxfId="14165" priority="3270" stopIfTrue="1" operator="between">
      <formula>14.1</formula>
      <formula>35</formula>
    </cfRule>
    <cfRule type="cellIs" dxfId="14164" priority="3271" stopIfTrue="1" operator="between">
      <formula>5.1</formula>
      <formula>14</formula>
    </cfRule>
    <cfRule type="cellIs" dxfId="14163" priority="3272" stopIfTrue="1" operator="between">
      <formula>0</formula>
      <formula>5</formula>
    </cfRule>
    <cfRule type="containsBlanks" dxfId="14162" priority="3273" stopIfTrue="1">
      <formula>LEN(TRIM(Q108))=0</formula>
    </cfRule>
  </conditionalFormatting>
  <conditionalFormatting sqref="Q101">
    <cfRule type="containsBlanks" dxfId="14161" priority="3253" stopIfTrue="1">
      <formula>LEN(TRIM(Q101))=0</formula>
    </cfRule>
    <cfRule type="cellIs" dxfId="14160" priority="3254" stopIfTrue="1" operator="between">
      <formula>80.1</formula>
      <formula>100</formula>
    </cfRule>
    <cfRule type="cellIs" dxfId="14159" priority="3255" stopIfTrue="1" operator="between">
      <formula>35.1</formula>
      <formula>80</formula>
    </cfRule>
    <cfRule type="cellIs" dxfId="14158" priority="3256" stopIfTrue="1" operator="between">
      <formula>14.1</formula>
      <formula>35</formula>
    </cfRule>
    <cfRule type="cellIs" dxfId="14157" priority="3257" stopIfTrue="1" operator="between">
      <formula>5.1</formula>
      <formula>14</formula>
    </cfRule>
    <cfRule type="cellIs" dxfId="14156" priority="3258" stopIfTrue="1" operator="between">
      <formula>0</formula>
      <formula>5</formula>
    </cfRule>
    <cfRule type="containsBlanks" dxfId="14155" priority="3259" stopIfTrue="1">
      <formula>LEN(TRIM(Q101))=0</formula>
    </cfRule>
  </conditionalFormatting>
  <conditionalFormatting sqref="Q222:Q223">
    <cfRule type="containsBlanks" dxfId="14154" priority="3161" stopIfTrue="1">
      <formula>LEN(TRIM(Q222))=0</formula>
    </cfRule>
    <cfRule type="cellIs" dxfId="14153" priority="3162" stopIfTrue="1" operator="between">
      <formula>80.1</formula>
      <formula>100</formula>
    </cfRule>
    <cfRule type="cellIs" dxfId="14152" priority="3163" stopIfTrue="1" operator="between">
      <formula>35.1</formula>
      <formula>80</formula>
    </cfRule>
    <cfRule type="cellIs" dxfId="14151" priority="3164" stopIfTrue="1" operator="between">
      <formula>14.1</formula>
      <formula>35</formula>
    </cfRule>
    <cfRule type="cellIs" dxfId="14150" priority="3165" stopIfTrue="1" operator="between">
      <formula>5.1</formula>
      <formula>14</formula>
    </cfRule>
    <cfRule type="cellIs" dxfId="14149" priority="3166" stopIfTrue="1" operator="between">
      <formula>0</formula>
      <formula>5</formula>
    </cfRule>
    <cfRule type="containsBlanks" dxfId="14148" priority="3167" stopIfTrue="1">
      <formula>LEN(TRIM(Q222))=0</formula>
    </cfRule>
  </conditionalFormatting>
  <conditionalFormatting sqref="Q224">
    <cfRule type="containsBlanks" dxfId="14147" priority="3144" stopIfTrue="1">
      <formula>LEN(TRIM(Q224))=0</formula>
    </cfRule>
    <cfRule type="cellIs" dxfId="14146" priority="3145" stopIfTrue="1" operator="between">
      <formula>80.1</formula>
      <formula>100</formula>
    </cfRule>
    <cfRule type="cellIs" dxfId="14145" priority="3146" stopIfTrue="1" operator="between">
      <formula>35.1</formula>
      <formula>80</formula>
    </cfRule>
    <cfRule type="cellIs" dxfId="14144" priority="3147" stopIfTrue="1" operator="between">
      <formula>14.1</formula>
      <formula>35</formula>
    </cfRule>
    <cfRule type="cellIs" dxfId="14143" priority="3148" stopIfTrue="1" operator="between">
      <formula>5.1</formula>
      <formula>14</formula>
    </cfRule>
    <cfRule type="cellIs" dxfId="14142" priority="3149" stopIfTrue="1" operator="between">
      <formula>0</formula>
      <formula>5</formula>
    </cfRule>
    <cfRule type="containsBlanks" dxfId="14141" priority="3150" stopIfTrue="1">
      <formula>LEN(TRIM(Q224))=0</formula>
    </cfRule>
  </conditionalFormatting>
  <conditionalFormatting sqref="Q219:Q220">
    <cfRule type="containsBlanks" dxfId="14140" priority="3076" stopIfTrue="1">
      <formula>LEN(TRIM(Q219))=0</formula>
    </cfRule>
    <cfRule type="cellIs" dxfId="14139" priority="3077" stopIfTrue="1" operator="between">
      <formula>80.1</formula>
      <formula>100</formula>
    </cfRule>
    <cfRule type="cellIs" dxfId="14138" priority="3078" stopIfTrue="1" operator="between">
      <formula>35.1</formula>
      <formula>80</formula>
    </cfRule>
    <cfRule type="cellIs" dxfId="14137" priority="3079" stopIfTrue="1" operator="between">
      <formula>14.1</formula>
      <formula>35</formula>
    </cfRule>
    <cfRule type="cellIs" dxfId="14136" priority="3080" stopIfTrue="1" operator="between">
      <formula>5.1</formula>
      <formula>14</formula>
    </cfRule>
    <cfRule type="cellIs" dxfId="14135" priority="3081" stopIfTrue="1" operator="between">
      <formula>0</formula>
      <formula>5</formula>
    </cfRule>
    <cfRule type="containsBlanks" dxfId="14134" priority="3082" stopIfTrue="1">
      <formula>LEN(TRIM(Q219))=0</formula>
    </cfRule>
  </conditionalFormatting>
  <conditionalFormatting sqref="Q217:Q218">
    <cfRule type="containsBlanks" dxfId="14133" priority="3093" stopIfTrue="1">
      <formula>LEN(TRIM(Q217))=0</formula>
    </cfRule>
    <cfRule type="cellIs" dxfId="14132" priority="3094" stopIfTrue="1" operator="between">
      <formula>80.1</formula>
      <formula>100</formula>
    </cfRule>
    <cfRule type="cellIs" dxfId="14131" priority="3095" stopIfTrue="1" operator="between">
      <formula>35.1</formula>
      <formula>80</formula>
    </cfRule>
    <cfRule type="cellIs" dxfId="14130" priority="3096" stopIfTrue="1" operator="between">
      <formula>14.1</formula>
      <formula>35</formula>
    </cfRule>
    <cfRule type="cellIs" dxfId="14129" priority="3097" stopIfTrue="1" operator="between">
      <formula>5.1</formula>
      <formula>14</formula>
    </cfRule>
    <cfRule type="cellIs" dxfId="14128" priority="3098" stopIfTrue="1" operator="between">
      <formula>0</formula>
      <formula>5</formula>
    </cfRule>
    <cfRule type="containsBlanks" dxfId="14127" priority="3099" stopIfTrue="1">
      <formula>LEN(TRIM(Q217))=0</formula>
    </cfRule>
  </conditionalFormatting>
  <conditionalFormatting sqref="E217:O217">
    <cfRule type="containsBlanks" dxfId="14126" priority="2986" stopIfTrue="1">
      <formula>LEN(TRIM(E217))=0</formula>
    </cfRule>
    <cfRule type="cellIs" dxfId="14125" priority="2987" stopIfTrue="1" operator="between">
      <formula>79.1</formula>
      <formula>100</formula>
    </cfRule>
    <cfRule type="cellIs" dxfId="14124" priority="2988" stopIfTrue="1" operator="between">
      <formula>34.1</formula>
      <formula>79</formula>
    </cfRule>
    <cfRule type="cellIs" dxfId="14123" priority="2989" stopIfTrue="1" operator="between">
      <formula>13.1</formula>
      <formula>34</formula>
    </cfRule>
    <cfRule type="cellIs" dxfId="14122" priority="2990" stopIfTrue="1" operator="between">
      <formula>5.1</formula>
      <formula>13</formula>
    </cfRule>
    <cfRule type="cellIs" dxfId="14121" priority="2991" stopIfTrue="1" operator="between">
      <formula>0</formula>
      <formula>5</formula>
    </cfRule>
    <cfRule type="containsBlanks" dxfId="14120" priority="2992" stopIfTrue="1">
      <formula>LEN(TRIM(E217))=0</formula>
    </cfRule>
  </conditionalFormatting>
  <conditionalFormatting sqref="E220:O220">
    <cfRule type="containsBlanks" dxfId="14119" priority="2979" stopIfTrue="1">
      <formula>LEN(TRIM(E220))=0</formula>
    </cfRule>
    <cfRule type="cellIs" dxfId="14118" priority="2980" stopIfTrue="1" operator="between">
      <formula>79.1</formula>
      <formula>100</formula>
    </cfRule>
    <cfRule type="cellIs" dxfId="14117" priority="2981" stopIfTrue="1" operator="between">
      <formula>34.1</formula>
      <formula>79</formula>
    </cfRule>
    <cfRule type="cellIs" dxfId="14116" priority="2982" stopIfTrue="1" operator="between">
      <formula>13.1</formula>
      <formula>34</formula>
    </cfRule>
    <cfRule type="cellIs" dxfId="14115" priority="2983" stopIfTrue="1" operator="between">
      <formula>5.1</formula>
      <formula>13</formula>
    </cfRule>
    <cfRule type="cellIs" dxfId="14114" priority="2984" stopIfTrue="1" operator="between">
      <formula>0</formula>
      <formula>5</formula>
    </cfRule>
    <cfRule type="containsBlanks" dxfId="14113" priority="2985" stopIfTrue="1">
      <formula>LEN(TRIM(E220))=0</formula>
    </cfRule>
  </conditionalFormatting>
  <conditionalFormatting sqref="E218:O218">
    <cfRule type="containsBlanks" dxfId="14112" priority="2972" stopIfTrue="1">
      <formula>LEN(TRIM(E218))=0</formula>
    </cfRule>
    <cfRule type="cellIs" dxfId="14111" priority="2973" stopIfTrue="1" operator="between">
      <formula>79.1</formula>
      <formula>100</formula>
    </cfRule>
    <cfRule type="cellIs" dxfId="14110" priority="2974" stopIfTrue="1" operator="between">
      <formula>34.1</formula>
      <formula>79</formula>
    </cfRule>
    <cfRule type="cellIs" dxfId="14109" priority="2975" stopIfTrue="1" operator="between">
      <formula>13.1</formula>
      <formula>34</formula>
    </cfRule>
    <cfRule type="cellIs" dxfId="14108" priority="2976" stopIfTrue="1" operator="between">
      <formula>5.1</formula>
      <formula>13</formula>
    </cfRule>
    <cfRule type="cellIs" dxfId="14107" priority="2977" stopIfTrue="1" operator="between">
      <formula>0</formula>
      <formula>5</formula>
    </cfRule>
    <cfRule type="containsBlanks" dxfId="14106" priority="2978" stopIfTrue="1">
      <formula>LEN(TRIM(E218))=0</formula>
    </cfRule>
  </conditionalFormatting>
  <conditionalFormatting sqref="E219:O219">
    <cfRule type="containsBlanks" dxfId="14105" priority="2965" stopIfTrue="1">
      <formula>LEN(TRIM(E219))=0</formula>
    </cfRule>
    <cfRule type="cellIs" dxfId="14104" priority="2966" stopIfTrue="1" operator="between">
      <formula>79.1</formula>
      <formula>100</formula>
    </cfRule>
    <cfRule type="cellIs" dxfId="14103" priority="2967" stopIfTrue="1" operator="between">
      <formula>34.1</formula>
      <formula>79</formula>
    </cfRule>
    <cfRule type="cellIs" dxfId="14102" priority="2968" stopIfTrue="1" operator="between">
      <formula>13.1</formula>
      <formula>34</formula>
    </cfRule>
    <cfRule type="cellIs" dxfId="14101" priority="2969" stopIfTrue="1" operator="between">
      <formula>5.1</formula>
      <formula>13</formula>
    </cfRule>
    <cfRule type="cellIs" dxfId="14100" priority="2970" stopIfTrue="1" operator="between">
      <formula>0</formula>
      <formula>5</formula>
    </cfRule>
    <cfRule type="containsBlanks" dxfId="14099" priority="2971" stopIfTrue="1">
      <formula>LEN(TRIM(E219))=0</formula>
    </cfRule>
  </conditionalFormatting>
  <conditionalFormatting sqref="P217">
    <cfRule type="containsBlanks" dxfId="14098" priority="2958" stopIfTrue="1">
      <formula>LEN(TRIM(P217))=0</formula>
    </cfRule>
    <cfRule type="cellIs" dxfId="14097" priority="2959" stopIfTrue="1" operator="between">
      <formula>80.1</formula>
      <formula>100</formula>
    </cfRule>
    <cfRule type="cellIs" dxfId="14096" priority="2960" stopIfTrue="1" operator="between">
      <formula>35.1</formula>
      <formula>80</formula>
    </cfRule>
    <cfRule type="cellIs" dxfId="14095" priority="2961" stopIfTrue="1" operator="between">
      <formula>14.1</formula>
      <formula>35</formula>
    </cfRule>
    <cfRule type="cellIs" dxfId="14094" priority="2962" stopIfTrue="1" operator="between">
      <formula>5.1</formula>
      <formula>14</formula>
    </cfRule>
    <cfRule type="cellIs" dxfId="14093" priority="2963" stopIfTrue="1" operator="between">
      <formula>0</formula>
      <formula>5</formula>
    </cfRule>
    <cfRule type="containsBlanks" dxfId="14092" priority="2964" stopIfTrue="1">
      <formula>LEN(TRIM(P217))=0</formula>
    </cfRule>
  </conditionalFormatting>
  <conditionalFormatting sqref="P218">
    <cfRule type="containsBlanks" dxfId="14091" priority="2937" stopIfTrue="1">
      <formula>LEN(TRIM(P218))=0</formula>
    </cfRule>
    <cfRule type="cellIs" dxfId="14090" priority="2938" stopIfTrue="1" operator="between">
      <formula>79.1</formula>
      <formula>100</formula>
    </cfRule>
    <cfRule type="cellIs" dxfId="14089" priority="2939" stopIfTrue="1" operator="between">
      <formula>34.1</formula>
      <formula>79</formula>
    </cfRule>
    <cfRule type="cellIs" dxfId="14088" priority="2940" stopIfTrue="1" operator="between">
      <formula>13.1</formula>
      <formula>34</formula>
    </cfRule>
    <cfRule type="cellIs" dxfId="14087" priority="2941" stopIfTrue="1" operator="between">
      <formula>5.1</formula>
      <formula>13</formula>
    </cfRule>
    <cfRule type="cellIs" dxfId="14086" priority="2942" stopIfTrue="1" operator="between">
      <formula>0</formula>
      <formula>5</formula>
    </cfRule>
    <cfRule type="containsBlanks" dxfId="14085" priority="2943" stopIfTrue="1">
      <formula>LEN(TRIM(P218))=0</formula>
    </cfRule>
  </conditionalFormatting>
  <conditionalFormatting sqref="P221">
    <cfRule type="containsBlanks" dxfId="14084" priority="2930" stopIfTrue="1">
      <formula>LEN(TRIM(P221))=0</formula>
    </cfRule>
    <cfRule type="cellIs" dxfId="14083" priority="2931" stopIfTrue="1" operator="between">
      <formula>79.1</formula>
      <formula>100</formula>
    </cfRule>
    <cfRule type="cellIs" dxfId="14082" priority="2932" stopIfTrue="1" operator="between">
      <formula>34.1</formula>
      <formula>79</formula>
    </cfRule>
    <cfRule type="cellIs" dxfId="14081" priority="2933" stopIfTrue="1" operator="between">
      <formula>13.1</formula>
      <formula>34</formula>
    </cfRule>
    <cfRule type="cellIs" dxfId="14080" priority="2934" stopIfTrue="1" operator="between">
      <formula>5.1</formula>
      <formula>13</formula>
    </cfRule>
    <cfRule type="cellIs" dxfId="14079" priority="2935" stopIfTrue="1" operator="between">
      <formula>0</formula>
      <formula>5</formula>
    </cfRule>
    <cfRule type="containsBlanks" dxfId="14078" priority="2936" stopIfTrue="1">
      <formula>LEN(TRIM(P221))=0</formula>
    </cfRule>
  </conditionalFormatting>
  <conditionalFormatting sqref="P219">
    <cfRule type="containsBlanks" dxfId="14077" priority="2923" stopIfTrue="1">
      <formula>LEN(TRIM(P219))=0</formula>
    </cfRule>
    <cfRule type="cellIs" dxfId="14076" priority="2924" stopIfTrue="1" operator="between">
      <formula>79.1</formula>
      <formula>100</formula>
    </cfRule>
    <cfRule type="cellIs" dxfId="14075" priority="2925" stopIfTrue="1" operator="between">
      <formula>34.1</formula>
      <formula>79</formula>
    </cfRule>
    <cfRule type="cellIs" dxfId="14074" priority="2926" stopIfTrue="1" operator="between">
      <formula>13.1</formula>
      <formula>34</formula>
    </cfRule>
    <cfRule type="cellIs" dxfId="14073" priority="2927" stopIfTrue="1" operator="between">
      <formula>5.1</formula>
      <formula>13</formula>
    </cfRule>
    <cfRule type="cellIs" dxfId="14072" priority="2928" stopIfTrue="1" operator="between">
      <formula>0</formula>
      <formula>5</formula>
    </cfRule>
    <cfRule type="containsBlanks" dxfId="14071" priority="2929" stopIfTrue="1">
      <formula>LEN(TRIM(P219))=0</formula>
    </cfRule>
  </conditionalFormatting>
  <conditionalFormatting sqref="P220">
    <cfRule type="containsBlanks" dxfId="14070" priority="2916" stopIfTrue="1">
      <formula>LEN(TRIM(P220))=0</formula>
    </cfRule>
    <cfRule type="cellIs" dxfId="14069" priority="2917" stopIfTrue="1" operator="between">
      <formula>79.1</formula>
      <formula>100</formula>
    </cfRule>
    <cfRule type="cellIs" dxfId="14068" priority="2918" stopIfTrue="1" operator="between">
      <formula>34.1</formula>
      <formula>79</formula>
    </cfRule>
    <cfRule type="cellIs" dxfId="14067" priority="2919" stopIfTrue="1" operator="between">
      <formula>13.1</formula>
      <formula>34</formula>
    </cfRule>
    <cfRule type="cellIs" dxfId="14066" priority="2920" stopIfTrue="1" operator="between">
      <formula>5.1</formula>
      <formula>13</formula>
    </cfRule>
    <cfRule type="cellIs" dxfId="14065" priority="2921" stopIfTrue="1" operator="between">
      <formula>0</formula>
      <formula>5</formula>
    </cfRule>
    <cfRule type="containsBlanks" dxfId="14064" priority="2922" stopIfTrue="1">
      <formula>LEN(TRIM(P220))=0</formula>
    </cfRule>
  </conditionalFormatting>
  <conditionalFormatting sqref="R222:R224">
    <cfRule type="cellIs" dxfId="14063" priority="2887" stopIfTrue="1" operator="equal">
      <formula>"NO"</formula>
    </cfRule>
  </conditionalFormatting>
  <conditionalFormatting sqref="R222:R224">
    <cfRule type="cellIs" dxfId="14062" priority="2886" stopIfTrue="1" operator="equal">
      <formula>"NO"</formula>
    </cfRule>
  </conditionalFormatting>
  <conditionalFormatting sqref="R222:R224">
    <cfRule type="cellIs" dxfId="14061" priority="2885" stopIfTrue="1" operator="equal">
      <formula>"NO"</formula>
    </cfRule>
  </conditionalFormatting>
  <conditionalFormatting sqref="S222:S224">
    <cfRule type="cellIs" dxfId="14060" priority="2884" stopIfTrue="1" operator="equal">
      <formula>"INVIABLE SANITARIAMENTE"</formula>
    </cfRule>
  </conditionalFormatting>
  <conditionalFormatting sqref="S222:S224">
    <cfRule type="containsText" dxfId="14059" priority="2879" stopIfTrue="1" operator="containsText" text="INVIABLE SANITARIAMENTE">
      <formula>NOT(ISERROR(SEARCH("INVIABLE SANITARIAMENTE",S222)))</formula>
    </cfRule>
    <cfRule type="containsText" dxfId="14058" priority="2880" stopIfTrue="1" operator="containsText" text="ALTO">
      <formula>NOT(ISERROR(SEARCH("ALTO",S222)))</formula>
    </cfRule>
    <cfRule type="containsText" dxfId="14057" priority="2881" stopIfTrue="1" operator="containsText" text="MEDIO">
      <formula>NOT(ISERROR(SEARCH("MEDIO",S222)))</formula>
    </cfRule>
    <cfRule type="containsText" dxfId="14056" priority="2882" stopIfTrue="1" operator="containsText" text="BAJO">
      <formula>NOT(ISERROR(SEARCH("BAJO",S222)))</formula>
    </cfRule>
    <cfRule type="containsText" dxfId="14055" priority="2883" stopIfTrue="1" operator="containsText" text="SIN RIESGO">
      <formula>NOT(ISERROR(SEARCH("SIN RIESGO",S222)))</formula>
    </cfRule>
  </conditionalFormatting>
  <conditionalFormatting sqref="S222:S224">
    <cfRule type="containsText" dxfId="14054" priority="2878" stopIfTrue="1" operator="containsText" text="SIN RIESGO">
      <formula>NOT(ISERROR(SEARCH("SIN RIESGO",S222)))</formula>
    </cfRule>
  </conditionalFormatting>
  <conditionalFormatting sqref="Q119">
    <cfRule type="containsBlanks" dxfId="14053" priority="2796" stopIfTrue="1">
      <formula>LEN(TRIM(Q119))=0</formula>
    </cfRule>
    <cfRule type="cellIs" dxfId="14052" priority="2797" stopIfTrue="1" operator="between">
      <formula>80.1</formula>
      <formula>100</formula>
    </cfRule>
    <cfRule type="cellIs" dxfId="14051" priority="2798" stopIfTrue="1" operator="between">
      <formula>35.1</formula>
      <formula>80</formula>
    </cfRule>
    <cfRule type="cellIs" dxfId="14050" priority="2799" stopIfTrue="1" operator="between">
      <formula>14.1</formula>
      <formula>35</formula>
    </cfRule>
    <cfRule type="cellIs" dxfId="14049" priority="2800" stopIfTrue="1" operator="between">
      <formula>5.1</formula>
      <formula>14</formula>
    </cfRule>
    <cfRule type="cellIs" dxfId="14048" priority="2801" stopIfTrue="1" operator="between">
      <formula>0</formula>
      <formula>5</formula>
    </cfRule>
    <cfRule type="containsBlanks" dxfId="14047" priority="2802" stopIfTrue="1">
      <formula>LEN(TRIM(Q119))=0</formula>
    </cfRule>
  </conditionalFormatting>
  <conditionalFormatting sqref="Q110:Q111">
    <cfRule type="containsBlanks" dxfId="14046" priority="2781" stopIfTrue="1">
      <formula>LEN(TRIM(Q110))=0</formula>
    </cfRule>
    <cfRule type="cellIs" dxfId="14045" priority="2782" stopIfTrue="1" operator="between">
      <formula>80.1</formula>
      <formula>100</formula>
    </cfRule>
    <cfRule type="cellIs" dxfId="14044" priority="2783" stopIfTrue="1" operator="between">
      <formula>35.1</formula>
      <formula>80</formula>
    </cfRule>
    <cfRule type="cellIs" dxfId="14043" priority="2784" stopIfTrue="1" operator="between">
      <formula>14.1</formula>
      <formula>35</formula>
    </cfRule>
    <cfRule type="cellIs" dxfId="14042" priority="2785" stopIfTrue="1" operator="between">
      <formula>5.1</formula>
      <formula>14</formula>
    </cfRule>
    <cfRule type="cellIs" dxfId="14041" priority="2786" stopIfTrue="1" operator="between">
      <formula>0</formula>
      <formula>5</formula>
    </cfRule>
    <cfRule type="containsBlanks" dxfId="14040" priority="2787" stopIfTrue="1">
      <formula>LEN(TRIM(Q110))=0</formula>
    </cfRule>
  </conditionalFormatting>
  <conditionalFormatting sqref="Q123">
    <cfRule type="containsBlanks" dxfId="14039" priority="2706" stopIfTrue="1">
      <formula>LEN(TRIM(Q123))=0</formula>
    </cfRule>
    <cfRule type="cellIs" dxfId="14038" priority="2707" stopIfTrue="1" operator="between">
      <formula>80.1</formula>
      <formula>100</formula>
    </cfRule>
    <cfRule type="cellIs" dxfId="14037" priority="2708" stopIfTrue="1" operator="between">
      <formula>35.1</formula>
      <formula>80</formula>
    </cfRule>
    <cfRule type="cellIs" dxfId="14036" priority="2709" stopIfTrue="1" operator="between">
      <formula>14.1</formula>
      <formula>35</formula>
    </cfRule>
    <cfRule type="cellIs" dxfId="14035" priority="2710" stopIfTrue="1" operator="between">
      <formula>5.1</formula>
      <formula>14</formula>
    </cfRule>
    <cfRule type="cellIs" dxfId="14034" priority="2711" stopIfTrue="1" operator="between">
      <formula>0</formula>
      <formula>5</formula>
    </cfRule>
    <cfRule type="containsBlanks" dxfId="14033" priority="2712" stopIfTrue="1">
      <formula>LEN(TRIM(Q123))=0</formula>
    </cfRule>
  </conditionalFormatting>
  <conditionalFormatting sqref="Q129">
    <cfRule type="containsBlanks" dxfId="14032" priority="2661" stopIfTrue="1">
      <formula>LEN(TRIM(Q129))=0</formula>
    </cfRule>
    <cfRule type="cellIs" dxfId="14031" priority="2662" stopIfTrue="1" operator="between">
      <formula>80.1</formula>
      <formula>100</formula>
    </cfRule>
    <cfRule type="cellIs" dxfId="14030" priority="2663" stopIfTrue="1" operator="between">
      <formula>35.1</formula>
      <formula>80</formula>
    </cfRule>
    <cfRule type="cellIs" dxfId="14029" priority="2664" stopIfTrue="1" operator="between">
      <formula>14.1</formula>
      <formula>35</formula>
    </cfRule>
    <cfRule type="cellIs" dxfId="14028" priority="2665" stopIfTrue="1" operator="between">
      <formula>5.1</formula>
      <formula>14</formula>
    </cfRule>
    <cfRule type="cellIs" dxfId="14027" priority="2666" stopIfTrue="1" operator="between">
      <formula>0</formula>
      <formula>5</formula>
    </cfRule>
    <cfRule type="containsBlanks" dxfId="14026" priority="2667" stopIfTrue="1">
      <formula>LEN(TRIM(Q129))=0</formula>
    </cfRule>
  </conditionalFormatting>
  <conditionalFormatting sqref="Q134">
    <cfRule type="containsBlanks" dxfId="14025" priority="2541" stopIfTrue="1">
      <formula>LEN(TRIM(Q134))=0</formula>
    </cfRule>
    <cfRule type="cellIs" dxfId="14024" priority="2542" stopIfTrue="1" operator="between">
      <formula>80.1</formula>
      <formula>100</formula>
    </cfRule>
    <cfRule type="cellIs" dxfId="14023" priority="2543" stopIfTrue="1" operator="between">
      <formula>35.1</formula>
      <formula>80</formula>
    </cfRule>
    <cfRule type="cellIs" dxfId="14022" priority="2544" stopIfTrue="1" operator="between">
      <formula>14.1</formula>
      <formula>35</formula>
    </cfRule>
    <cfRule type="cellIs" dxfId="14021" priority="2545" stopIfTrue="1" operator="between">
      <formula>5.1</formula>
      <formula>14</formula>
    </cfRule>
    <cfRule type="cellIs" dxfId="14020" priority="2546" stopIfTrue="1" operator="between">
      <formula>0</formula>
      <formula>5</formula>
    </cfRule>
    <cfRule type="containsBlanks" dxfId="14019" priority="2547" stopIfTrue="1">
      <formula>LEN(TRIM(Q134))=0</formula>
    </cfRule>
  </conditionalFormatting>
  <conditionalFormatting sqref="Q135:Q136">
    <cfRule type="containsBlanks" dxfId="14018" priority="2526" stopIfTrue="1">
      <formula>LEN(TRIM(Q135))=0</formula>
    </cfRule>
    <cfRule type="cellIs" dxfId="14017" priority="2527" stopIfTrue="1" operator="between">
      <formula>80.1</formula>
      <formula>100</formula>
    </cfRule>
    <cfRule type="cellIs" dxfId="14016" priority="2528" stopIfTrue="1" operator="between">
      <formula>35.1</formula>
      <formula>80</formula>
    </cfRule>
    <cfRule type="cellIs" dxfId="14015" priority="2529" stopIfTrue="1" operator="between">
      <formula>14.1</formula>
      <formula>35</formula>
    </cfRule>
    <cfRule type="cellIs" dxfId="14014" priority="2530" stopIfTrue="1" operator="between">
      <formula>5.1</formula>
      <formula>14</formula>
    </cfRule>
    <cfRule type="cellIs" dxfId="14013" priority="2531" stopIfTrue="1" operator="between">
      <formula>0</formula>
      <formula>5</formula>
    </cfRule>
    <cfRule type="containsBlanks" dxfId="14012" priority="2532" stopIfTrue="1">
      <formula>LEN(TRIM(Q135))=0</formula>
    </cfRule>
  </conditionalFormatting>
  <conditionalFormatting sqref="R135">
    <cfRule type="cellIs" dxfId="14011" priority="2524" stopIfTrue="1" operator="equal">
      <formula>"NO"</formula>
    </cfRule>
  </conditionalFormatting>
  <conditionalFormatting sqref="R141">
    <cfRule type="cellIs" dxfId="14010" priority="2509" stopIfTrue="1" operator="equal">
      <formula>"NO"</formula>
    </cfRule>
  </conditionalFormatting>
  <conditionalFormatting sqref="R145">
    <cfRule type="cellIs" dxfId="14009" priority="2479" stopIfTrue="1" operator="equal">
      <formula>"NO"</formula>
    </cfRule>
  </conditionalFormatting>
  <conditionalFormatting sqref="Q156">
    <cfRule type="containsBlanks" dxfId="14008" priority="2406" stopIfTrue="1">
      <formula>LEN(TRIM(Q156))=0</formula>
    </cfRule>
    <cfRule type="cellIs" dxfId="14007" priority="2407" stopIfTrue="1" operator="between">
      <formula>80.1</formula>
      <formula>100</formula>
    </cfRule>
    <cfRule type="cellIs" dxfId="14006" priority="2408" stopIfTrue="1" operator="between">
      <formula>35.1</formula>
      <formula>80</formula>
    </cfRule>
    <cfRule type="cellIs" dxfId="14005" priority="2409" stopIfTrue="1" operator="between">
      <formula>14.1</formula>
      <formula>35</formula>
    </cfRule>
    <cfRule type="cellIs" dxfId="14004" priority="2410" stopIfTrue="1" operator="between">
      <formula>5.1</formula>
      <formula>14</formula>
    </cfRule>
    <cfRule type="cellIs" dxfId="14003" priority="2411" stopIfTrue="1" operator="between">
      <formula>0</formula>
      <formula>5</formula>
    </cfRule>
    <cfRule type="containsBlanks" dxfId="14002" priority="2412" stopIfTrue="1">
      <formula>LEN(TRIM(Q156))=0</formula>
    </cfRule>
  </conditionalFormatting>
  <conditionalFormatting sqref="Q157:Q160">
    <cfRule type="containsBlanks" dxfId="14001" priority="2391" stopIfTrue="1">
      <formula>LEN(TRIM(Q157))=0</formula>
    </cfRule>
    <cfRule type="cellIs" dxfId="14000" priority="2392" stopIfTrue="1" operator="between">
      <formula>80.1</formula>
      <formula>100</formula>
    </cfRule>
    <cfRule type="cellIs" dxfId="13999" priority="2393" stopIfTrue="1" operator="between">
      <formula>35.1</formula>
      <formula>80</formula>
    </cfRule>
    <cfRule type="cellIs" dxfId="13998" priority="2394" stopIfTrue="1" operator="between">
      <formula>14.1</formula>
      <formula>35</formula>
    </cfRule>
    <cfRule type="cellIs" dxfId="13997" priority="2395" stopIfTrue="1" operator="between">
      <formula>5.1</formula>
      <formula>14</formula>
    </cfRule>
    <cfRule type="cellIs" dxfId="13996" priority="2396" stopIfTrue="1" operator="between">
      <formula>0</formula>
      <formula>5</formula>
    </cfRule>
    <cfRule type="containsBlanks" dxfId="13995" priority="2397" stopIfTrue="1">
      <formula>LEN(TRIM(Q157))=0</formula>
    </cfRule>
  </conditionalFormatting>
  <conditionalFormatting sqref="Q162:Q170">
    <cfRule type="containsBlanks" dxfId="13994" priority="2361" stopIfTrue="1">
      <formula>LEN(TRIM(Q162))=0</formula>
    </cfRule>
    <cfRule type="cellIs" dxfId="13993" priority="2362" stopIfTrue="1" operator="between">
      <formula>80.1</formula>
      <formula>100</formula>
    </cfRule>
    <cfRule type="cellIs" dxfId="13992" priority="2363" stopIfTrue="1" operator="between">
      <formula>35.1</formula>
      <formula>80</formula>
    </cfRule>
    <cfRule type="cellIs" dxfId="13991" priority="2364" stopIfTrue="1" operator="between">
      <formula>14.1</formula>
      <formula>35</formula>
    </cfRule>
    <cfRule type="cellIs" dxfId="13990" priority="2365" stopIfTrue="1" operator="between">
      <formula>5.1</formula>
      <formula>14</formula>
    </cfRule>
    <cfRule type="cellIs" dxfId="13989" priority="2366" stopIfTrue="1" operator="between">
      <formula>0</formula>
      <formula>5</formula>
    </cfRule>
    <cfRule type="containsBlanks" dxfId="13988" priority="2367" stopIfTrue="1">
      <formula>LEN(TRIM(Q162))=0</formula>
    </cfRule>
  </conditionalFormatting>
  <conditionalFormatting sqref="Q180">
    <cfRule type="containsBlanks" dxfId="13987" priority="2256" stopIfTrue="1">
      <formula>LEN(TRIM(Q180))=0</formula>
    </cfRule>
    <cfRule type="cellIs" dxfId="13986" priority="2257" stopIfTrue="1" operator="between">
      <formula>80.1</formula>
      <formula>100</formula>
    </cfRule>
    <cfRule type="cellIs" dxfId="13985" priority="2258" stopIfTrue="1" operator="between">
      <formula>35.1</formula>
      <formula>80</formula>
    </cfRule>
    <cfRule type="cellIs" dxfId="13984" priority="2259" stopIfTrue="1" operator="between">
      <formula>14.1</formula>
      <formula>35</formula>
    </cfRule>
    <cfRule type="cellIs" dxfId="13983" priority="2260" stopIfTrue="1" operator="between">
      <formula>5.1</formula>
      <formula>14</formula>
    </cfRule>
    <cfRule type="cellIs" dxfId="13982" priority="2261" stopIfTrue="1" operator="between">
      <formula>0</formula>
      <formula>5</formula>
    </cfRule>
    <cfRule type="containsBlanks" dxfId="13981" priority="2262" stopIfTrue="1">
      <formula>LEN(TRIM(Q180))=0</formula>
    </cfRule>
  </conditionalFormatting>
  <conditionalFormatting sqref="R180">
    <cfRule type="cellIs" dxfId="13980" priority="2254" stopIfTrue="1" operator="equal">
      <formula>"NO"</formula>
    </cfRule>
  </conditionalFormatting>
  <conditionalFormatting sqref="Q181:Q182">
    <cfRule type="containsBlanks" dxfId="13979" priority="2241" stopIfTrue="1">
      <formula>LEN(TRIM(Q181))=0</formula>
    </cfRule>
    <cfRule type="cellIs" dxfId="13978" priority="2242" stopIfTrue="1" operator="between">
      <formula>80.1</formula>
      <formula>100</formula>
    </cfRule>
    <cfRule type="cellIs" dxfId="13977" priority="2243" stopIfTrue="1" operator="between">
      <formula>35.1</formula>
      <formula>80</formula>
    </cfRule>
    <cfRule type="cellIs" dxfId="13976" priority="2244" stopIfTrue="1" operator="between">
      <formula>14.1</formula>
      <formula>35</formula>
    </cfRule>
    <cfRule type="cellIs" dxfId="13975" priority="2245" stopIfTrue="1" operator="between">
      <formula>5.1</formula>
      <formula>14</formula>
    </cfRule>
    <cfRule type="cellIs" dxfId="13974" priority="2246" stopIfTrue="1" operator="between">
      <formula>0</formula>
      <formula>5</formula>
    </cfRule>
    <cfRule type="containsBlanks" dxfId="13973" priority="2247" stopIfTrue="1">
      <formula>LEN(TRIM(Q181))=0</formula>
    </cfRule>
  </conditionalFormatting>
  <conditionalFormatting sqref="R181">
    <cfRule type="cellIs" dxfId="13972" priority="2239" stopIfTrue="1" operator="equal">
      <formula>"NO"</formula>
    </cfRule>
  </conditionalFormatting>
  <conditionalFormatting sqref="Q188">
    <cfRule type="containsBlanks" dxfId="13971" priority="2196" stopIfTrue="1">
      <formula>LEN(TRIM(Q188))=0</formula>
    </cfRule>
    <cfRule type="cellIs" dxfId="13970" priority="2197" stopIfTrue="1" operator="between">
      <formula>80.1</formula>
      <formula>100</formula>
    </cfRule>
    <cfRule type="cellIs" dxfId="13969" priority="2198" stopIfTrue="1" operator="between">
      <formula>35.1</formula>
      <formula>80</formula>
    </cfRule>
    <cfRule type="cellIs" dxfId="13968" priority="2199" stopIfTrue="1" operator="between">
      <formula>14.1</formula>
      <formula>35</formula>
    </cfRule>
    <cfRule type="cellIs" dxfId="13967" priority="2200" stopIfTrue="1" operator="between">
      <formula>5.1</formula>
      <formula>14</formula>
    </cfRule>
    <cfRule type="cellIs" dxfId="13966" priority="2201" stopIfTrue="1" operator="between">
      <formula>0</formula>
      <formula>5</formula>
    </cfRule>
    <cfRule type="containsBlanks" dxfId="13965" priority="2202" stopIfTrue="1">
      <formula>LEN(TRIM(Q188))=0</formula>
    </cfRule>
  </conditionalFormatting>
  <conditionalFormatting sqref="Q190:Q191">
    <cfRule type="containsBlanks" dxfId="13964" priority="2166" stopIfTrue="1">
      <formula>LEN(TRIM(Q190))=0</formula>
    </cfRule>
    <cfRule type="cellIs" dxfId="13963" priority="2167" stopIfTrue="1" operator="between">
      <formula>80.1</formula>
      <formula>100</formula>
    </cfRule>
    <cfRule type="cellIs" dxfId="13962" priority="2168" stopIfTrue="1" operator="between">
      <formula>35.1</formula>
      <formula>80</formula>
    </cfRule>
    <cfRule type="cellIs" dxfId="13961" priority="2169" stopIfTrue="1" operator="between">
      <formula>14.1</formula>
      <formula>35</formula>
    </cfRule>
    <cfRule type="cellIs" dxfId="13960" priority="2170" stopIfTrue="1" operator="between">
      <formula>5.1</formula>
      <formula>14</formula>
    </cfRule>
    <cfRule type="cellIs" dxfId="13959" priority="2171" stopIfTrue="1" operator="between">
      <formula>0</formula>
      <formula>5</formula>
    </cfRule>
    <cfRule type="containsBlanks" dxfId="13958" priority="2172" stopIfTrue="1">
      <formula>LEN(TRIM(Q190))=0</formula>
    </cfRule>
  </conditionalFormatting>
  <conditionalFormatting sqref="R190:R191">
    <cfRule type="cellIs" dxfId="13957" priority="2164" stopIfTrue="1" operator="equal">
      <formula>"NO"</formula>
    </cfRule>
  </conditionalFormatting>
  <conditionalFormatting sqref="Q193:Q196">
    <cfRule type="containsBlanks" dxfId="13956" priority="2151" stopIfTrue="1">
      <formula>LEN(TRIM(Q193))=0</formula>
    </cfRule>
    <cfRule type="cellIs" dxfId="13955" priority="2152" stopIfTrue="1" operator="between">
      <formula>80.1</formula>
      <formula>100</formula>
    </cfRule>
    <cfRule type="cellIs" dxfId="13954" priority="2153" stopIfTrue="1" operator="between">
      <formula>35.1</formula>
      <formula>80</formula>
    </cfRule>
    <cfRule type="cellIs" dxfId="13953" priority="2154" stopIfTrue="1" operator="between">
      <formula>14.1</formula>
      <formula>35</formula>
    </cfRule>
    <cfRule type="cellIs" dxfId="13952" priority="2155" stopIfTrue="1" operator="between">
      <formula>5.1</formula>
      <formula>14</formula>
    </cfRule>
    <cfRule type="cellIs" dxfId="13951" priority="2156" stopIfTrue="1" operator="between">
      <formula>0</formula>
      <formula>5</formula>
    </cfRule>
    <cfRule type="containsBlanks" dxfId="13950" priority="2157" stopIfTrue="1">
      <formula>LEN(TRIM(Q193))=0</formula>
    </cfRule>
  </conditionalFormatting>
  <conditionalFormatting sqref="Q198">
    <cfRule type="containsBlanks" dxfId="13949" priority="2121" stopIfTrue="1">
      <formula>LEN(TRIM(Q198))=0</formula>
    </cfRule>
    <cfRule type="cellIs" dxfId="13948" priority="2122" stopIfTrue="1" operator="between">
      <formula>80.1</formula>
      <formula>100</formula>
    </cfRule>
    <cfRule type="cellIs" dxfId="13947" priority="2123" stopIfTrue="1" operator="between">
      <formula>35.1</formula>
      <formula>80</formula>
    </cfRule>
    <cfRule type="cellIs" dxfId="13946" priority="2124" stopIfTrue="1" operator="between">
      <formula>14.1</formula>
      <formula>35</formula>
    </cfRule>
    <cfRule type="cellIs" dxfId="13945" priority="2125" stopIfTrue="1" operator="between">
      <formula>5.1</formula>
      <formula>14</formula>
    </cfRule>
    <cfRule type="cellIs" dxfId="13944" priority="2126" stopIfTrue="1" operator="between">
      <formula>0</formula>
      <formula>5</formula>
    </cfRule>
    <cfRule type="containsBlanks" dxfId="13943" priority="2127" stopIfTrue="1">
      <formula>LEN(TRIM(Q198))=0</formula>
    </cfRule>
  </conditionalFormatting>
  <conditionalFormatting sqref="Q199:Q201">
    <cfRule type="containsBlanks" dxfId="13942" priority="2106" stopIfTrue="1">
      <formula>LEN(TRIM(Q199))=0</formula>
    </cfRule>
    <cfRule type="cellIs" dxfId="13941" priority="2107" stopIfTrue="1" operator="between">
      <formula>80.1</formula>
      <formula>100</formula>
    </cfRule>
    <cfRule type="cellIs" dxfId="13940" priority="2108" stopIfTrue="1" operator="between">
      <formula>35.1</formula>
      <formula>80</formula>
    </cfRule>
    <cfRule type="cellIs" dxfId="13939" priority="2109" stopIfTrue="1" operator="between">
      <formula>14.1</formula>
      <formula>35</formula>
    </cfRule>
    <cfRule type="cellIs" dxfId="13938" priority="2110" stopIfTrue="1" operator="between">
      <formula>5.1</formula>
      <formula>14</formula>
    </cfRule>
    <cfRule type="cellIs" dxfId="13937" priority="2111" stopIfTrue="1" operator="between">
      <formula>0</formula>
      <formula>5</formula>
    </cfRule>
    <cfRule type="containsBlanks" dxfId="13936" priority="2112" stopIfTrue="1">
      <formula>LEN(TRIM(Q199))=0</formula>
    </cfRule>
  </conditionalFormatting>
  <conditionalFormatting sqref="R200">
    <cfRule type="cellIs" dxfId="13935" priority="2104" stopIfTrue="1" operator="equal">
      <formula>"NO"</formula>
    </cfRule>
  </conditionalFormatting>
  <conditionalFormatting sqref="Q202">
    <cfRule type="containsBlanks" dxfId="13934" priority="2091" stopIfTrue="1">
      <formula>LEN(TRIM(Q202))=0</formula>
    </cfRule>
    <cfRule type="cellIs" dxfId="13933" priority="2092" stopIfTrue="1" operator="between">
      <formula>80.1</formula>
      <formula>100</formula>
    </cfRule>
    <cfRule type="cellIs" dxfId="13932" priority="2093" stopIfTrue="1" operator="between">
      <formula>35.1</formula>
      <formula>80</formula>
    </cfRule>
    <cfRule type="cellIs" dxfId="13931" priority="2094" stopIfTrue="1" operator="between">
      <formula>14.1</formula>
      <formula>35</formula>
    </cfRule>
    <cfRule type="cellIs" dxfId="13930" priority="2095" stopIfTrue="1" operator="between">
      <formula>5.1</formula>
      <formula>14</formula>
    </cfRule>
    <cfRule type="cellIs" dxfId="13929" priority="2096" stopIfTrue="1" operator="between">
      <formula>0</formula>
      <formula>5</formula>
    </cfRule>
    <cfRule type="containsBlanks" dxfId="13928" priority="2097" stopIfTrue="1">
      <formula>LEN(TRIM(Q202))=0</formula>
    </cfRule>
  </conditionalFormatting>
  <conditionalFormatting sqref="Q203">
    <cfRule type="containsBlanks" dxfId="13927" priority="2061" stopIfTrue="1">
      <formula>LEN(TRIM(Q203))=0</formula>
    </cfRule>
    <cfRule type="cellIs" dxfId="13926" priority="2062" stopIfTrue="1" operator="between">
      <formula>80.1</formula>
      <formula>100</formula>
    </cfRule>
    <cfRule type="cellIs" dxfId="13925" priority="2063" stopIfTrue="1" operator="between">
      <formula>35.1</formula>
      <formula>80</formula>
    </cfRule>
    <cfRule type="cellIs" dxfId="13924" priority="2064" stopIfTrue="1" operator="between">
      <formula>14.1</formula>
      <formula>35</formula>
    </cfRule>
    <cfRule type="cellIs" dxfId="13923" priority="2065" stopIfTrue="1" operator="between">
      <formula>5.1</formula>
      <formula>14</formula>
    </cfRule>
    <cfRule type="cellIs" dxfId="13922" priority="2066" stopIfTrue="1" operator="between">
      <formula>0</formula>
      <formula>5</formula>
    </cfRule>
    <cfRule type="containsBlanks" dxfId="13921" priority="2067" stopIfTrue="1">
      <formula>LEN(TRIM(Q203))=0</formula>
    </cfRule>
  </conditionalFormatting>
  <conditionalFormatting sqref="E122:P122">
    <cfRule type="containsBlanks" dxfId="13920" priority="1875" stopIfTrue="1">
      <formula>LEN(TRIM(E122))=0</formula>
    </cfRule>
    <cfRule type="cellIs" dxfId="13919" priority="1876" stopIfTrue="1" operator="between">
      <formula>79.1</formula>
      <formula>100</formula>
    </cfRule>
    <cfRule type="cellIs" dxfId="13918" priority="1877" stopIfTrue="1" operator="between">
      <formula>34.1</formula>
      <formula>79</formula>
    </cfRule>
    <cfRule type="cellIs" dxfId="13917" priority="1878" stopIfTrue="1" operator="between">
      <formula>13.1</formula>
      <formula>34</formula>
    </cfRule>
    <cfRule type="cellIs" dxfId="13916" priority="1879" stopIfTrue="1" operator="between">
      <formula>5.1</formula>
      <formula>13</formula>
    </cfRule>
    <cfRule type="cellIs" dxfId="13915" priority="1880" stopIfTrue="1" operator="between">
      <formula>0</formula>
      <formula>5</formula>
    </cfRule>
    <cfRule type="containsBlanks" dxfId="13914" priority="1881" stopIfTrue="1">
      <formula>LEN(TRIM(E122))=0</formula>
    </cfRule>
  </conditionalFormatting>
  <conditionalFormatting sqref="E177:P177">
    <cfRule type="containsBlanks" dxfId="13913" priority="1825" stopIfTrue="1">
      <formula>LEN(TRIM(E177))=0</formula>
    </cfRule>
    <cfRule type="cellIs" dxfId="13912" priority="1826" stopIfTrue="1" operator="between">
      <formula>80.1</formula>
      <formula>100</formula>
    </cfRule>
    <cfRule type="cellIs" dxfId="13911" priority="1827" stopIfTrue="1" operator="between">
      <formula>35.1</formula>
      <formula>80</formula>
    </cfRule>
    <cfRule type="cellIs" dxfId="13910" priority="1828" stopIfTrue="1" operator="between">
      <formula>14.1</formula>
      <formula>35</formula>
    </cfRule>
    <cfRule type="cellIs" dxfId="13909" priority="1829" stopIfTrue="1" operator="between">
      <formula>5.1</formula>
      <formula>14</formula>
    </cfRule>
    <cfRule type="cellIs" dxfId="13908" priority="1830" stopIfTrue="1" operator="between">
      <formula>0</formula>
      <formula>5</formula>
    </cfRule>
    <cfRule type="containsBlanks" dxfId="13907" priority="1831" stopIfTrue="1">
      <formula>LEN(TRIM(E177))=0</formula>
    </cfRule>
  </conditionalFormatting>
  <conditionalFormatting sqref="E178:P178">
    <cfRule type="containsBlanks" dxfId="13906" priority="1818" stopIfTrue="1">
      <formula>LEN(TRIM(E178))=0</formula>
    </cfRule>
    <cfRule type="cellIs" dxfId="13905" priority="1819" stopIfTrue="1" operator="between">
      <formula>80.1</formula>
      <formula>100</formula>
    </cfRule>
    <cfRule type="cellIs" dxfId="13904" priority="1820" stopIfTrue="1" operator="between">
      <formula>35.1</formula>
      <formula>80</formula>
    </cfRule>
    <cfRule type="cellIs" dxfId="13903" priority="1821" stopIfTrue="1" operator="between">
      <formula>14.1</formula>
      <formula>35</formula>
    </cfRule>
    <cfRule type="cellIs" dxfId="13902" priority="1822" stopIfTrue="1" operator="between">
      <formula>5.1</formula>
      <formula>14</formula>
    </cfRule>
    <cfRule type="cellIs" dxfId="13901" priority="1823" stopIfTrue="1" operator="between">
      <formula>0</formula>
      <formula>5</formula>
    </cfRule>
    <cfRule type="containsBlanks" dxfId="13900" priority="1824" stopIfTrue="1">
      <formula>LEN(TRIM(E178))=0</formula>
    </cfRule>
  </conditionalFormatting>
  <conditionalFormatting sqref="E179:P179">
    <cfRule type="containsBlanks" dxfId="13899" priority="1811" stopIfTrue="1">
      <formula>LEN(TRIM(E179))=0</formula>
    </cfRule>
    <cfRule type="cellIs" dxfId="13898" priority="1812" stopIfTrue="1" operator="between">
      <formula>80.1</formula>
      <formula>100</formula>
    </cfRule>
    <cfRule type="cellIs" dxfId="13897" priority="1813" stopIfTrue="1" operator="between">
      <formula>35.1</formula>
      <formula>80</formula>
    </cfRule>
    <cfRule type="cellIs" dxfId="13896" priority="1814" stopIfTrue="1" operator="between">
      <formula>14.1</formula>
      <formula>35</formula>
    </cfRule>
    <cfRule type="cellIs" dxfId="13895" priority="1815" stopIfTrue="1" operator="between">
      <formula>5.1</formula>
      <formula>14</formula>
    </cfRule>
    <cfRule type="cellIs" dxfId="13894" priority="1816" stopIfTrue="1" operator="between">
      <formula>0</formula>
      <formula>5</formula>
    </cfRule>
    <cfRule type="containsBlanks" dxfId="13893" priority="1817" stopIfTrue="1">
      <formula>LEN(TRIM(E179))=0</formula>
    </cfRule>
  </conditionalFormatting>
  <conditionalFormatting sqref="E170:P171">
    <cfRule type="containsBlanks" dxfId="13892" priority="1790" stopIfTrue="1">
      <formula>LEN(TRIM(E170))=0</formula>
    </cfRule>
    <cfRule type="cellIs" dxfId="13891" priority="1791" stopIfTrue="1" operator="between">
      <formula>80.1</formula>
      <formula>100</formula>
    </cfRule>
    <cfRule type="cellIs" dxfId="13890" priority="1792" stopIfTrue="1" operator="between">
      <formula>35.1</formula>
      <formula>80</formula>
    </cfRule>
    <cfRule type="cellIs" dxfId="13889" priority="1793" stopIfTrue="1" operator="between">
      <formula>14.1</formula>
      <formula>35</formula>
    </cfRule>
    <cfRule type="cellIs" dxfId="13888" priority="1794" stopIfTrue="1" operator="between">
      <formula>5.1</formula>
      <formula>14</formula>
    </cfRule>
    <cfRule type="cellIs" dxfId="13887" priority="1795" stopIfTrue="1" operator="between">
      <formula>0</formula>
      <formula>5</formula>
    </cfRule>
    <cfRule type="containsBlanks" dxfId="13886" priority="1796" stopIfTrue="1">
      <formula>LEN(TRIM(E170))=0</formula>
    </cfRule>
  </conditionalFormatting>
  <conditionalFormatting sqref="E176:P176">
    <cfRule type="containsBlanks" dxfId="13885" priority="1769" stopIfTrue="1">
      <formula>LEN(TRIM(E176))=0</formula>
    </cfRule>
    <cfRule type="cellIs" dxfId="13884" priority="1770" stopIfTrue="1" operator="between">
      <formula>80.1</formula>
      <formula>100</formula>
    </cfRule>
    <cfRule type="cellIs" dxfId="13883" priority="1771" stopIfTrue="1" operator="between">
      <formula>35.1</formula>
      <formula>80</formula>
    </cfRule>
    <cfRule type="cellIs" dxfId="13882" priority="1772" stopIfTrue="1" operator="between">
      <formula>14.1</formula>
      <formula>35</formula>
    </cfRule>
    <cfRule type="cellIs" dxfId="13881" priority="1773" stopIfTrue="1" operator="between">
      <formula>5.1</formula>
      <formula>14</formula>
    </cfRule>
    <cfRule type="cellIs" dxfId="13880" priority="1774" stopIfTrue="1" operator="between">
      <formula>0</formula>
      <formula>5</formula>
    </cfRule>
    <cfRule type="containsBlanks" dxfId="13879" priority="1775" stopIfTrue="1">
      <formula>LEN(TRIM(E176))=0</formula>
    </cfRule>
  </conditionalFormatting>
  <conditionalFormatting sqref="Q161">
    <cfRule type="containsBlanks" dxfId="13878" priority="1755" stopIfTrue="1">
      <formula>LEN(TRIM(Q161))=0</formula>
    </cfRule>
    <cfRule type="cellIs" dxfId="13877" priority="1756" stopIfTrue="1" operator="between">
      <formula>80.1</formula>
      <formula>100</formula>
    </cfRule>
    <cfRule type="cellIs" dxfId="13876" priority="1757" stopIfTrue="1" operator="between">
      <formula>35.1</formula>
      <formula>80</formula>
    </cfRule>
    <cfRule type="cellIs" dxfId="13875" priority="1758" stopIfTrue="1" operator="between">
      <formula>14.1</formula>
      <formula>35</formula>
    </cfRule>
    <cfRule type="cellIs" dxfId="13874" priority="1759" stopIfTrue="1" operator="between">
      <formula>5.1</formula>
      <formula>14</formula>
    </cfRule>
    <cfRule type="cellIs" dxfId="13873" priority="1760" stopIfTrue="1" operator="between">
      <formula>0</formula>
      <formula>5</formula>
    </cfRule>
    <cfRule type="containsBlanks" dxfId="13872" priority="1761" stopIfTrue="1">
      <formula>LEN(TRIM(Q161))=0</formula>
    </cfRule>
  </conditionalFormatting>
  <conditionalFormatting sqref="E174:P174">
    <cfRule type="containsBlanks" dxfId="13871" priority="1741" stopIfTrue="1">
      <formula>LEN(TRIM(E174))=0</formula>
    </cfRule>
    <cfRule type="cellIs" dxfId="13870" priority="1742" stopIfTrue="1" operator="between">
      <formula>80.1</formula>
      <formula>100</formula>
    </cfRule>
    <cfRule type="cellIs" dxfId="13869" priority="1743" stopIfTrue="1" operator="between">
      <formula>35.1</formula>
      <formula>80</formula>
    </cfRule>
    <cfRule type="cellIs" dxfId="13868" priority="1744" stopIfTrue="1" operator="between">
      <formula>14.1</formula>
      <formula>35</formula>
    </cfRule>
    <cfRule type="cellIs" dxfId="13867" priority="1745" stopIfTrue="1" operator="between">
      <formula>5.1</formula>
      <formula>14</formula>
    </cfRule>
    <cfRule type="cellIs" dxfId="13866" priority="1746" stopIfTrue="1" operator="between">
      <formula>0</formula>
      <formula>5</formula>
    </cfRule>
    <cfRule type="containsBlanks" dxfId="13865" priority="1747" stopIfTrue="1">
      <formula>LEN(TRIM(E174))=0</formula>
    </cfRule>
  </conditionalFormatting>
  <conditionalFormatting sqref="E173:P173">
    <cfRule type="containsBlanks" dxfId="13864" priority="1713" stopIfTrue="1">
      <formula>LEN(TRIM(E173))=0</formula>
    </cfRule>
    <cfRule type="cellIs" dxfId="13863" priority="1714" stopIfTrue="1" operator="between">
      <formula>80.1</formula>
      <formula>100</formula>
    </cfRule>
    <cfRule type="cellIs" dxfId="13862" priority="1715" stopIfTrue="1" operator="between">
      <formula>35.1</formula>
      <formula>80</formula>
    </cfRule>
    <cfRule type="cellIs" dxfId="13861" priority="1716" stopIfTrue="1" operator="between">
      <formula>14.1</formula>
      <formula>35</formula>
    </cfRule>
    <cfRule type="cellIs" dxfId="13860" priority="1717" stopIfTrue="1" operator="between">
      <formula>5.1</formula>
      <formula>14</formula>
    </cfRule>
    <cfRule type="cellIs" dxfId="13859" priority="1718" stopIfTrue="1" operator="between">
      <formula>0</formula>
      <formula>5</formula>
    </cfRule>
    <cfRule type="containsBlanks" dxfId="13858" priority="1719" stopIfTrue="1">
      <formula>LEN(TRIM(E173))=0</formula>
    </cfRule>
  </conditionalFormatting>
  <conditionalFormatting sqref="Q127">
    <cfRule type="containsBlanks" dxfId="13857" priority="1612" stopIfTrue="1">
      <formula>LEN(TRIM(Q127))=0</formula>
    </cfRule>
    <cfRule type="cellIs" dxfId="13856" priority="1613" stopIfTrue="1" operator="between">
      <formula>79.1</formula>
      <formula>100</formula>
    </cfRule>
    <cfRule type="cellIs" dxfId="13855" priority="1614" stopIfTrue="1" operator="between">
      <formula>34.1</formula>
      <formula>79</formula>
    </cfRule>
    <cfRule type="cellIs" dxfId="13854" priority="1615" stopIfTrue="1" operator="between">
      <formula>13.1</formula>
      <formula>34</formula>
    </cfRule>
    <cfRule type="cellIs" dxfId="13853" priority="1616" stopIfTrue="1" operator="between">
      <formula>5.1</formula>
      <formula>13</formula>
    </cfRule>
    <cfRule type="cellIs" dxfId="13852" priority="1617" stopIfTrue="1" operator="between">
      <formula>0</formula>
      <formula>5</formula>
    </cfRule>
    <cfRule type="containsBlanks" dxfId="13851" priority="1618" stopIfTrue="1">
      <formula>LEN(TRIM(Q127))=0</formula>
    </cfRule>
  </conditionalFormatting>
  <conditionalFormatting sqref="Q125">
    <cfRule type="containsBlanks" dxfId="13850" priority="1605" stopIfTrue="1">
      <formula>LEN(TRIM(Q125))=0</formula>
    </cfRule>
    <cfRule type="cellIs" dxfId="13849" priority="1606" stopIfTrue="1" operator="between">
      <formula>80.1</formula>
      <formula>100</formula>
    </cfRule>
    <cfRule type="cellIs" dxfId="13848" priority="1607" stopIfTrue="1" operator="between">
      <formula>35.1</formula>
      <formula>80</formula>
    </cfRule>
    <cfRule type="cellIs" dxfId="13847" priority="1608" stopIfTrue="1" operator="between">
      <formula>14.1</formula>
      <formula>35</formula>
    </cfRule>
    <cfRule type="cellIs" dxfId="13846" priority="1609" stopIfTrue="1" operator="between">
      <formula>5.1</formula>
      <formula>14</formula>
    </cfRule>
    <cfRule type="cellIs" dxfId="13845" priority="1610" stopIfTrue="1" operator="between">
      <formula>0</formula>
      <formula>5</formula>
    </cfRule>
    <cfRule type="containsBlanks" dxfId="13844" priority="1611" stopIfTrue="1">
      <formula>LEN(TRIM(Q125))=0</formula>
    </cfRule>
  </conditionalFormatting>
  <conditionalFormatting sqref="Q197">
    <cfRule type="containsBlanks" dxfId="13843" priority="1591" stopIfTrue="1">
      <formula>LEN(TRIM(Q197))=0</formula>
    </cfRule>
    <cfRule type="cellIs" dxfId="13842" priority="1592" stopIfTrue="1" operator="between">
      <formula>80.1</formula>
      <formula>100</formula>
    </cfRule>
    <cfRule type="cellIs" dxfId="13841" priority="1593" stopIfTrue="1" operator="between">
      <formula>35.1</formula>
      <formula>80</formula>
    </cfRule>
    <cfRule type="cellIs" dxfId="13840" priority="1594" stopIfTrue="1" operator="between">
      <formula>14.1</formula>
      <formula>35</formula>
    </cfRule>
    <cfRule type="cellIs" dxfId="13839" priority="1595" stopIfTrue="1" operator="between">
      <formula>5.1</formula>
      <formula>14</formula>
    </cfRule>
    <cfRule type="cellIs" dxfId="13838" priority="1596" stopIfTrue="1" operator="between">
      <formula>0</formula>
      <formula>5</formula>
    </cfRule>
    <cfRule type="containsBlanks" dxfId="13837" priority="1597" stopIfTrue="1">
      <formula>LEN(TRIM(Q197))=0</formula>
    </cfRule>
  </conditionalFormatting>
  <conditionalFormatting sqref="Q89">
    <cfRule type="containsBlanks" dxfId="13836" priority="1577" stopIfTrue="1">
      <formula>LEN(TRIM(Q89))=0</formula>
    </cfRule>
    <cfRule type="cellIs" dxfId="13835" priority="1578" stopIfTrue="1" operator="between">
      <formula>80.1</formula>
      <formula>100</formula>
    </cfRule>
    <cfRule type="cellIs" dxfId="13834" priority="1579" stopIfTrue="1" operator="between">
      <formula>35.1</formula>
      <formula>80</formula>
    </cfRule>
    <cfRule type="cellIs" dxfId="13833" priority="1580" stopIfTrue="1" operator="between">
      <formula>14.1</formula>
      <formula>35</formula>
    </cfRule>
    <cfRule type="cellIs" dxfId="13832" priority="1581" stopIfTrue="1" operator="between">
      <formula>5.1</formula>
      <formula>14</formula>
    </cfRule>
    <cfRule type="cellIs" dxfId="13831" priority="1582" stopIfTrue="1" operator="between">
      <formula>0</formula>
      <formula>5</formula>
    </cfRule>
    <cfRule type="containsBlanks" dxfId="13830" priority="1583" stopIfTrue="1">
      <formula>LEN(TRIM(Q89))=0</formula>
    </cfRule>
  </conditionalFormatting>
  <conditionalFormatting sqref="Q89">
    <cfRule type="containsBlanks" dxfId="13829" priority="1570" stopIfTrue="1">
      <formula>LEN(TRIM(Q89))=0</formula>
    </cfRule>
    <cfRule type="cellIs" dxfId="13828" priority="1571" stopIfTrue="1" operator="between">
      <formula>80.1</formula>
      <formula>100</formula>
    </cfRule>
    <cfRule type="cellIs" dxfId="13827" priority="1572" stopIfTrue="1" operator="between">
      <formula>35.1</formula>
      <formula>80</formula>
    </cfRule>
    <cfRule type="cellIs" dxfId="13826" priority="1573" stopIfTrue="1" operator="between">
      <formula>14.1</formula>
      <formula>35</formula>
    </cfRule>
    <cfRule type="cellIs" dxfId="13825" priority="1574" stopIfTrue="1" operator="between">
      <formula>5.1</formula>
      <formula>14</formula>
    </cfRule>
    <cfRule type="cellIs" dxfId="13824" priority="1575" stopIfTrue="1" operator="between">
      <formula>0</formula>
      <formula>5</formula>
    </cfRule>
    <cfRule type="containsBlanks" dxfId="13823" priority="1576" stopIfTrue="1">
      <formula>LEN(TRIM(Q89))=0</formula>
    </cfRule>
  </conditionalFormatting>
  <conditionalFormatting sqref="R89:R94">
    <cfRule type="cellIs" dxfId="13822" priority="1569" stopIfTrue="1" operator="equal">
      <formula>"NO"</formula>
    </cfRule>
  </conditionalFormatting>
  <conditionalFormatting sqref="R89:R94">
    <cfRule type="cellIs" dxfId="13821" priority="1568" stopIfTrue="1" operator="equal">
      <formula>"NO"</formula>
    </cfRule>
  </conditionalFormatting>
  <conditionalFormatting sqref="R89:R94">
    <cfRule type="cellIs" dxfId="13820" priority="1567" stopIfTrue="1" operator="equal">
      <formula>"NO"</formula>
    </cfRule>
  </conditionalFormatting>
  <conditionalFormatting sqref="R136:R140">
    <cfRule type="cellIs" dxfId="13819" priority="1549" stopIfTrue="1" operator="equal">
      <formula>"NO"</formula>
    </cfRule>
  </conditionalFormatting>
  <conditionalFormatting sqref="R136:R140">
    <cfRule type="cellIs" dxfId="13818" priority="1548" stopIfTrue="1" operator="equal">
      <formula>"NO"</formula>
    </cfRule>
  </conditionalFormatting>
  <conditionalFormatting sqref="R136:R140">
    <cfRule type="cellIs" dxfId="13817" priority="1547" stopIfTrue="1" operator="equal">
      <formula>"NO"</formula>
    </cfRule>
  </conditionalFormatting>
  <conditionalFormatting sqref="R182:R185">
    <cfRule type="cellIs" dxfId="13816" priority="1532" stopIfTrue="1" operator="equal">
      <formula>"NO"</formula>
    </cfRule>
  </conditionalFormatting>
  <conditionalFormatting sqref="R187:R189">
    <cfRule type="cellIs" dxfId="13815" priority="1531" stopIfTrue="1" operator="equal">
      <formula>"NO"</formula>
    </cfRule>
  </conditionalFormatting>
  <conditionalFormatting sqref="S129:S210 S11:S127">
    <cfRule type="containsText" dxfId="13814" priority="1464" stopIfTrue="1" operator="containsText" text="INVIABLE SANITARIAMENTE">
      <formula>NOT(ISERROR(SEARCH("INVIABLE SANITARIAMENTE",S11)))</formula>
    </cfRule>
    <cfRule type="containsText" dxfId="13813" priority="1465" stopIfTrue="1" operator="containsText" text="ALTO">
      <formula>NOT(ISERROR(SEARCH("ALTO",S11)))</formula>
    </cfRule>
    <cfRule type="containsText" dxfId="13812" priority="1466" stopIfTrue="1" operator="containsText" text="MEDIO">
      <formula>NOT(ISERROR(SEARCH("MEDIO",S11)))</formula>
    </cfRule>
    <cfRule type="containsText" dxfId="13811" priority="1467" stopIfTrue="1" operator="containsText" text="BAJO">
      <formula>NOT(ISERROR(SEARCH("BAJO",S11)))</formula>
    </cfRule>
    <cfRule type="containsText" dxfId="13810" priority="1468" stopIfTrue="1" operator="containsText" text="SIN RIESGO">
      <formula>NOT(ISERROR(SEARCH("SIN RIESGO",S11)))</formula>
    </cfRule>
  </conditionalFormatting>
  <conditionalFormatting sqref="R128">
    <cfRule type="cellIs" dxfId="13809" priority="1462" stopIfTrue="1" operator="equal">
      <formula>"NO"</formula>
    </cfRule>
  </conditionalFormatting>
  <conditionalFormatting sqref="Q128">
    <cfRule type="containsBlanks" dxfId="13808" priority="1448" stopIfTrue="1">
      <formula>LEN(TRIM(Q128))=0</formula>
    </cfRule>
    <cfRule type="cellIs" dxfId="13807" priority="1449" stopIfTrue="1" operator="between">
      <formula>80.1</formula>
      <formula>100</formula>
    </cfRule>
    <cfRule type="cellIs" dxfId="13806" priority="1450" stopIfTrue="1" operator="between">
      <formula>35.1</formula>
      <formula>80</formula>
    </cfRule>
    <cfRule type="cellIs" dxfId="13805" priority="1451" stopIfTrue="1" operator="between">
      <formula>14.1</formula>
      <formula>35</formula>
    </cfRule>
    <cfRule type="cellIs" dxfId="13804" priority="1452" stopIfTrue="1" operator="between">
      <formula>5.1</formula>
      <formula>14</formula>
    </cfRule>
    <cfRule type="cellIs" dxfId="13803" priority="1453" stopIfTrue="1" operator="between">
      <formula>0</formula>
      <formula>5</formula>
    </cfRule>
    <cfRule type="containsBlanks" dxfId="13802" priority="1454" stopIfTrue="1">
      <formula>LEN(TRIM(Q128))=0</formula>
    </cfRule>
  </conditionalFormatting>
  <conditionalFormatting sqref="S128">
    <cfRule type="cellIs" dxfId="13801" priority="1440" stopIfTrue="1" operator="equal">
      <formula>"INVIABLE SANITARIAMENTE"</formula>
    </cfRule>
  </conditionalFormatting>
  <conditionalFormatting sqref="S128">
    <cfRule type="containsText" dxfId="13800" priority="1435" stopIfTrue="1" operator="containsText" text="INVIABLE SANITARIAMENTE">
      <formula>NOT(ISERROR(SEARCH("INVIABLE SANITARIAMENTE",S128)))</formula>
    </cfRule>
    <cfRule type="containsText" dxfId="13799" priority="1436" stopIfTrue="1" operator="containsText" text="ALTO">
      <formula>NOT(ISERROR(SEARCH("ALTO",S128)))</formula>
    </cfRule>
    <cfRule type="containsText" dxfId="13798" priority="1437" stopIfTrue="1" operator="containsText" text="MEDIO">
      <formula>NOT(ISERROR(SEARCH("MEDIO",S128)))</formula>
    </cfRule>
    <cfRule type="containsText" dxfId="13797" priority="1438" stopIfTrue="1" operator="containsText" text="BAJO">
      <formula>NOT(ISERROR(SEARCH("BAJO",S128)))</formula>
    </cfRule>
    <cfRule type="containsText" dxfId="13796" priority="1439" stopIfTrue="1" operator="containsText" text="SIN RIESGO">
      <formula>NOT(ISERROR(SEARCH("SIN RIESGO",S128)))</formula>
    </cfRule>
  </conditionalFormatting>
  <conditionalFormatting sqref="S128">
    <cfRule type="containsText" dxfId="13795" priority="1434" stopIfTrue="1" operator="containsText" text="SIN RIESGO">
      <formula>NOT(ISERROR(SEARCH("SIN RIESGO",S128)))</formula>
    </cfRule>
  </conditionalFormatting>
  <conditionalFormatting sqref="E69:H69">
    <cfRule type="containsBlanks" dxfId="13794" priority="750" stopIfTrue="1">
      <formula>LEN(TRIM(E69))=0</formula>
    </cfRule>
    <cfRule type="cellIs" dxfId="13793" priority="751" stopIfTrue="1" operator="between">
      <formula>80.1</formula>
      <formula>100</formula>
    </cfRule>
    <cfRule type="cellIs" dxfId="13792" priority="752" stopIfTrue="1" operator="between">
      <formula>35.1</formula>
      <formula>80</formula>
    </cfRule>
    <cfRule type="cellIs" dxfId="13791" priority="753" stopIfTrue="1" operator="between">
      <formula>14.1</formula>
      <formula>35</formula>
    </cfRule>
    <cfRule type="cellIs" dxfId="13790" priority="754" stopIfTrue="1" operator="between">
      <formula>5.1</formula>
      <formula>14</formula>
    </cfRule>
    <cfRule type="cellIs" dxfId="13789" priority="755" stopIfTrue="1" operator="between">
      <formula>0</formula>
      <formula>5</formula>
    </cfRule>
    <cfRule type="containsBlanks" dxfId="13788" priority="756" stopIfTrue="1">
      <formula>LEN(TRIM(E69))=0</formula>
    </cfRule>
  </conditionalFormatting>
  <conditionalFormatting sqref="E99:P99">
    <cfRule type="containsBlanks" dxfId="13787" priority="540" stopIfTrue="1">
      <formula>LEN(TRIM(E99))=0</formula>
    </cfRule>
    <cfRule type="cellIs" dxfId="13786" priority="541" stopIfTrue="1" operator="between">
      <formula>80.1</formula>
      <formula>100</formula>
    </cfRule>
    <cfRule type="cellIs" dxfId="13785" priority="542" stopIfTrue="1" operator="between">
      <formula>35.1</formula>
      <formula>80</formula>
    </cfRule>
    <cfRule type="cellIs" dxfId="13784" priority="543" stopIfTrue="1" operator="between">
      <formula>14.1</formula>
      <formula>35</formula>
    </cfRule>
    <cfRule type="cellIs" dxfId="13783" priority="544" stopIfTrue="1" operator="between">
      <formula>5.1</formula>
      <formula>14</formula>
    </cfRule>
    <cfRule type="cellIs" dxfId="13782" priority="545" stopIfTrue="1" operator="between">
      <formula>0</formula>
      <formula>5</formula>
    </cfRule>
    <cfRule type="containsBlanks" dxfId="13781" priority="546" stopIfTrue="1">
      <formula>LEN(TRIM(E99))=0</formula>
    </cfRule>
  </conditionalFormatting>
  <conditionalFormatting sqref="K11:P18">
    <cfRule type="containsBlanks" dxfId="13780" priority="1366" stopIfTrue="1">
      <formula>LEN(TRIM(K11))=0</formula>
    </cfRule>
    <cfRule type="cellIs" dxfId="13779" priority="1367" stopIfTrue="1" operator="between">
      <formula>80.1</formula>
      <formula>100</formula>
    </cfRule>
    <cfRule type="cellIs" dxfId="13778" priority="1368" stopIfTrue="1" operator="between">
      <formula>35.1</formula>
      <formula>80</formula>
    </cfRule>
    <cfRule type="cellIs" dxfId="13777" priority="1369" stopIfTrue="1" operator="between">
      <formula>14.1</formula>
      <formula>35</formula>
    </cfRule>
    <cfRule type="cellIs" dxfId="13776" priority="1370" stopIfTrue="1" operator="between">
      <formula>5.1</formula>
      <formula>14</formula>
    </cfRule>
    <cfRule type="cellIs" dxfId="13775" priority="1371" stopIfTrue="1" operator="between">
      <formula>0</formula>
      <formula>5</formula>
    </cfRule>
    <cfRule type="containsBlanks" dxfId="13774" priority="1372" stopIfTrue="1">
      <formula>LEN(TRIM(K11))=0</formula>
    </cfRule>
  </conditionalFormatting>
  <conditionalFormatting sqref="E12:J12 I11:J11 J13:J17 I18:J18">
    <cfRule type="containsBlanks" dxfId="13773" priority="1359" stopIfTrue="1">
      <formula>LEN(TRIM(E11))=0</formula>
    </cfRule>
    <cfRule type="cellIs" dxfId="13772" priority="1360" stopIfTrue="1" operator="between">
      <formula>80.1</formula>
      <formula>100</formula>
    </cfRule>
    <cfRule type="cellIs" dxfId="13771" priority="1361" stopIfTrue="1" operator="between">
      <formula>35.1</formula>
      <formula>80</formula>
    </cfRule>
    <cfRule type="cellIs" dxfId="13770" priority="1362" stopIfTrue="1" operator="between">
      <formula>14.1</formula>
      <formula>35</formula>
    </cfRule>
    <cfRule type="cellIs" dxfId="13769" priority="1363" stopIfTrue="1" operator="between">
      <formula>5.1</formula>
      <formula>14</formula>
    </cfRule>
    <cfRule type="cellIs" dxfId="13768" priority="1364" stopIfTrue="1" operator="between">
      <formula>0</formula>
      <formula>5</formula>
    </cfRule>
    <cfRule type="containsBlanks" dxfId="13767" priority="1365" stopIfTrue="1">
      <formula>LEN(TRIM(E11))=0</formula>
    </cfRule>
  </conditionalFormatting>
  <conditionalFormatting sqref="I18:J18">
    <cfRule type="containsBlanks" dxfId="13766" priority="1352" stopIfTrue="1">
      <formula>LEN(TRIM(I18))=0</formula>
    </cfRule>
    <cfRule type="cellIs" dxfId="13765" priority="1353" stopIfTrue="1" operator="between">
      <formula>79.1</formula>
      <formula>100</formula>
    </cfRule>
    <cfRule type="cellIs" dxfId="13764" priority="1354" stopIfTrue="1" operator="between">
      <formula>34.1</formula>
      <formula>79</formula>
    </cfRule>
    <cfRule type="cellIs" dxfId="13763" priority="1355" stopIfTrue="1" operator="between">
      <formula>13.1</formula>
      <formula>34</formula>
    </cfRule>
    <cfRule type="cellIs" dxfId="13762" priority="1356" stopIfTrue="1" operator="between">
      <formula>5.1</formula>
      <formula>13</formula>
    </cfRule>
    <cfRule type="cellIs" dxfId="13761" priority="1357" stopIfTrue="1" operator="between">
      <formula>0</formula>
      <formula>5</formula>
    </cfRule>
    <cfRule type="containsBlanks" dxfId="13760" priority="1358" stopIfTrue="1">
      <formula>LEN(TRIM(I18))=0</formula>
    </cfRule>
  </conditionalFormatting>
  <conditionalFormatting sqref="E12:J12 I11:J11 J13:J17">
    <cfRule type="containsBlanks" dxfId="13759" priority="1345" stopIfTrue="1">
      <formula>LEN(TRIM(E11))=0</formula>
    </cfRule>
    <cfRule type="cellIs" dxfId="13758" priority="1346" stopIfTrue="1" operator="between">
      <formula>79.1</formula>
      <formula>100</formula>
    </cfRule>
    <cfRule type="cellIs" dxfId="13757" priority="1347" stopIfTrue="1" operator="between">
      <formula>34.1</formula>
      <formula>79</formula>
    </cfRule>
    <cfRule type="cellIs" dxfId="13756" priority="1348" stopIfTrue="1" operator="between">
      <formula>13.1</formula>
      <formula>34</formula>
    </cfRule>
    <cfRule type="cellIs" dxfId="13755" priority="1349" stopIfTrue="1" operator="between">
      <formula>5.1</formula>
      <formula>13</formula>
    </cfRule>
    <cfRule type="cellIs" dxfId="13754" priority="1350" stopIfTrue="1" operator="between">
      <formula>0</formula>
      <formula>5</formula>
    </cfRule>
    <cfRule type="containsBlanks" dxfId="13753" priority="1351" stopIfTrue="1">
      <formula>LEN(TRIM(E11))=0</formula>
    </cfRule>
  </conditionalFormatting>
  <conditionalFormatting sqref="E11:H11">
    <cfRule type="containsBlanks" dxfId="13752" priority="1338" stopIfTrue="1">
      <formula>LEN(TRIM(E11))=0</formula>
    </cfRule>
    <cfRule type="cellIs" dxfId="13751" priority="1339" stopIfTrue="1" operator="between">
      <formula>80.1</formula>
      <formula>100</formula>
    </cfRule>
    <cfRule type="cellIs" dxfId="13750" priority="1340" stopIfTrue="1" operator="between">
      <formula>35.1</formula>
      <formula>80</formula>
    </cfRule>
    <cfRule type="cellIs" dxfId="13749" priority="1341" stopIfTrue="1" operator="between">
      <formula>14.1</formula>
      <formula>35</formula>
    </cfRule>
    <cfRule type="cellIs" dxfId="13748" priority="1342" stopIfTrue="1" operator="between">
      <formula>5.1</formula>
      <formula>14</formula>
    </cfRule>
    <cfRule type="cellIs" dxfId="13747" priority="1343" stopIfTrue="1" operator="between">
      <formula>0</formula>
      <formula>5</formula>
    </cfRule>
    <cfRule type="containsBlanks" dxfId="13746" priority="1344" stopIfTrue="1">
      <formula>LEN(TRIM(E11))=0</formula>
    </cfRule>
  </conditionalFormatting>
  <conditionalFormatting sqref="E13:I15">
    <cfRule type="containsBlanks" dxfId="13745" priority="1331" stopIfTrue="1">
      <formula>LEN(TRIM(E13))=0</formula>
    </cfRule>
    <cfRule type="cellIs" dxfId="13744" priority="1332" stopIfTrue="1" operator="between">
      <formula>80.1</formula>
      <formula>100</formula>
    </cfRule>
    <cfRule type="cellIs" dxfId="13743" priority="1333" stopIfTrue="1" operator="between">
      <formula>35.1</formula>
      <formula>80</formula>
    </cfRule>
    <cfRule type="cellIs" dxfId="13742" priority="1334" stopIfTrue="1" operator="between">
      <formula>14.1</formula>
      <formula>35</formula>
    </cfRule>
    <cfRule type="cellIs" dxfId="13741" priority="1335" stopIfTrue="1" operator="between">
      <formula>5.1</formula>
      <formula>14</formula>
    </cfRule>
    <cfRule type="cellIs" dxfId="13740" priority="1336" stopIfTrue="1" operator="between">
      <formula>0</formula>
      <formula>5</formula>
    </cfRule>
    <cfRule type="containsBlanks" dxfId="13739" priority="1337" stopIfTrue="1">
      <formula>LEN(TRIM(E13))=0</formula>
    </cfRule>
  </conditionalFormatting>
  <conditionalFormatting sqref="E16:I17">
    <cfRule type="containsBlanks" dxfId="13738" priority="1324" stopIfTrue="1">
      <formula>LEN(TRIM(E16))=0</formula>
    </cfRule>
    <cfRule type="cellIs" dxfId="13737" priority="1325" stopIfTrue="1" operator="between">
      <formula>80.1</formula>
      <formula>100</formula>
    </cfRule>
    <cfRule type="cellIs" dxfId="13736" priority="1326" stopIfTrue="1" operator="between">
      <formula>35.1</formula>
      <formula>80</formula>
    </cfRule>
    <cfRule type="cellIs" dxfId="13735" priority="1327" stopIfTrue="1" operator="between">
      <formula>14.1</formula>
      <formula>35</formula>
    </cfRule>
    <cfRule type="cellIs" dxfId="13734" priority="1328" stopIfTrue="1" operator="between">
      <formula>5.1</formula>
      <formula>14</formula>
    </cfRule>
    <cfRule type="cellIs" dxfId="13733" priority="1329" stopIfTrue="1" operator="between">
      <formula>0</formula>
      <formula>5</formula>
    </cfRule>
    <cfRule type="containsBlanks" dxfId="13732" priority="1330" stopIfTrue="1">
      <formula>LEN(TRIM(E16))=0</formula>
    </cfRule>
  </conditionalFormatting>
  <conditionalFormatting sqref="E18:H18">
    <cfRule type="containsBlanks" dxfId="13731" priority="1317" stopIfTrue="1">
      <formula>LEN(TRIM(E18))=0</formula>
    </cfRule>
    <cfRule type="cellIs" dxfId="13730" priority="1318" stopIfTrue="1" operator="between">
      <formula>80.1</formula>
      <formula>100</formula>
    </cfRule>
    <cfRule type="cellIs" dxfId="13729" priority="1319" stopIfTrue="1" operator="between">
      <formula>35.1</formula>
      <formula>80</formula>
    </cfRule>
    <cfRule type="cellIs" dxfId="13728" priority="1320" stopIfTrue="1" operator="between">
      <formula>14.1</formula>
      <formula>35</formula>
    </cfRule>
    <cfRule type="cellIs" dxfId="13727" priority="1321" stopIfTrue="1" operator="between">
      <formula>5.1</formula>
      <formula>14</formula>
    </cfRule>
    <cfRule type="cellIs" dxfId="13726" priority="1322" stopIfTrue="1" operator="between">
      <formula>0</formula>
      <formula>5</formula>
    </cfRule>
    <cfRule type="containsBlanks" dxfId="13725" priority="1323" stopIfTrue="1">
      <formula>LEN(TRIM(E18))=0</formula>
    </cfRule>
  </conditionalFormatting>
  <conditionalFormatting sqref="K20:P27">
    <cfRule type="containsBlanks" dxfId="13724" priority="1310" stopIfTrue="1">
      <formula>LEN(TRIM(K20))=0</formula>
    </cfRule>
    <cfRule type="cellIs" dxfId="13723" priority="1311" stopIfTrue="1" operator="between">
      <formula>80.1</formula>
      <formula>100</formula>
    </cfRule>
    <cfRule type="cellIs" dxfId="13722" priority="1312" stopIfTrue="1" operator="between">
      <formula>35.1</formula>
      <formula>80</formula>
    </cfRule>
    <cfRule type="cellIs" dxfId="13721" priority="1313" stopIfTrue="1" operator="between">
      <formula>14.1</formula>
      <formula>35</formula>
    </cfRule>
    <cfRule type="cellIs" dxfId="13720" priority="1314" stopIfTrue="1" operator="between">
      <formula>5.1</formula>
      <formula>14</formula>
    </cfRule>
    <cfRule type="cellIs" dxfId="13719" priority="1315" stopIfTrue="1" operator="between">
      <formula>0</formula>
      <formula>5</formula>
    </cfRule>
    <cfRule type="containsBlanks" dxfId="13718" priority="1316" stopIfTrue="1">
      <formula>LEN(TRIM(K20))=0</formula>
    </cfRule>
  </conditionalFormatting>
  <conditionalFormatting sqref="H20:J20 I21:J21 F22:J22 H23:J23 J24:J27">
    <cfRule type="containsBlanks" dxfId="13717" priority="1303" stopIfTrue="1">
      <formula>LEN(TRIM(F20))=0</formula>
    </cfRule>
    <cfRule type="cellIs" dxfId="13716" priority="1304" stopIfTrue="1" operator="between">
      <formula>80.1</formula>
      <formula>100</formula>
    </cfRule>
    <cfRule type="cellIs" dxfId="13715" priority="1305" stopIfTrue="1" operator="between">
      <formula>35.1</formula>
      <formula>80</formula>
    </cfRule>
    <cfRule type="cellIs" dxfId="13714" priority="1306" stopIfTrue="1" operator="between">
      <formula>14.1</formula>
      <formula>35</formula>
    </cfRule>
    <cfRule type="cellIs" dxfId="13713" priority="1307" stopIfTrue="1" operator="between">
      <formula>5.1</formula>
      <formula>14</formula>
    </cfRule>
    <cfRule type="cellIs" dxfId="13712" priority="1308" stopIfTrue="1" operator="between">
      <formula>0</formula>
      <formula>5</formula>
    </cfRule>
    <cfRule type="containsBlanks" dxfId="13711" priority="1309" stopIfTrue="1">
      <formula>LEN(TRIM(F20))=0</formula>
    </cfRule>
  </conditionalFormatting>
  <conditionalFormatting sqref="J25 I21:J21 H20:J20">
    <cfRule type="containsBlanks" dxfId="13710" priority="1296" stopIfTrue="1">
      <formula>LEN(TRIM(H20))=0</formula>
    </cfRule>
    <cfRule type="cellIs" dxfId="13709" priority="1297" stopIfTrue="1" operator="between">
      <formula>79.1</formula>
      <formula>100</formula>
    </cfRule>
    <cfRule type="cellIs" dxfId="13708" priority="1298" stopIfTrue="1" operator="between">
      <formula>34.1</formula>
      <formula>79</formula>
    </cfRule>
    <cfRule type="cellIs" dxfId="13707" priority="1299" stopIfTrue="1" operator="between">
      <formula>13.1</formula>
      <formula>34</formula>
    </cfRule>
    <cfRule type="cellIs" dxfId="13706" priority="1300" stopIfTrue="1" operator="between">
      <formula>5.1</formula>
      <formula>13</formula>
    </cfRule>
    <cfRule type="cellIs" dxfId="13705" priority="1301" stopIfTrue="1" operator="between">
      <formula>0</formula>
      <formula>5</formula>
    </cfRule>
    <cfRule type="containsBlanks" dxfId="13704" priority="1302" stopIfTrue="1">
      <formula>LEN(TRIM(H20))=0</formula>
    </cfRule>
  </conditionalFormatting>
  <conditionalFormatting sqref="J27">
    <cfRule type="containsBlanks" dxfId="13703" priority="1289" stopIfTrue="1">
      <formula>LEN(TRIM(J27))=0</formula>
    </cfRule>
    <cfRule type="cellIs" dxfId="13702" priority="1290" stopIfTrue="1" operator="between">
      <formula>80.1</formula>
      <formula>100</formula>
    </cfRule>
    <cfRule type="cellIs" dxfId="13701" priority="1291" stopIfTrue="1" operator="between">
      <formula>35.1</formula>
      <formula>80</formula>
    </cfRule>
    <cfRule type="cellIs" dxfId="13700" priority="1292" stopIfTrue="1" operator="between">
      <formula>14.1</formula>
      <formula>35</formula>
    </cfRule>
    <cfRule type="cellIs" dxfId="13699" priority="1293" stopIfTrue="1" operator="between">
      <formula>5.1</formula>
      <formula>14</formula>
    </cfRule>
    <cfRule type="cellIs" dxfId="13698" priority="1294" stopIfTrue="1" operator="between">
      <formula>0</formula>
      <formula>5</formula>
    </cfRule>
    <cfRule type="containsBlanks" dxfId="13697" priority="1295" stopIfTrue="1">
      <formula>LEN(TRIM(J27))=0</formula>
    </cfRule>
  </conditionalFormatting>
  <conditionalFormatting sqref="J26">
    <cfRule type="containsBlanks" dxfId="13696" priority="1282" stopIfTrue="1">
      <formula>LEN(TRIM(J26))=0</formula>
    </cfRule>
    <cfRule type="cellIs" dxfId="13695" priority="1283" stopIfTrue="1" operator="between">
      <formula>79.1</formula>
      <formula>100</formula>
    </cfRule>
    <cfRule type="cellIs" dxfId="13694" priority="1284" stopIfTrue="1" operator="between">
      <formula>34.1</formula>
      <formula>79</formula>
    </cfRule>
    <cfRule type="cellIs" dxfId="13693" priority="1285" stopIfTrue="1" operator="between">
      <formula>13.1</formula>
      <formula>34</formula>
    </cfRule>
    <cfRule type="cellIs" dxfId="13692" priority="1286" stopIfTrue="1" operator="between">
      <formula>5.1</formula>
      <formula>13</formula>
    </cfRule>
    <cfRule type="cellIs" dxfId="13691" priority="1287" stopIfTrue="1" operator="between">
      <formula>0</formula>
      <formula>5</formula>
    </cfRule>
    <cfRule type="containsBlanks" dxfId="13690" priority="1288" stopIfTrue="1">
      <formula>LEN(TRIM(J26))=0</formula>
    </cfRule>
  </conditionalFormatting>
  <conditionalFormatting sqref="H23:J23 F22:J22">
    <cfRule type="containsBlanks" dxfId="13689" priority="1275" stopIfTrue="1">
      <formula>LEN(TRIM(F22))=0</formula>
    </cfRule>
    <cfRule type="cellIs" dxfId="13688" priority="1276" stopIfTrue="1" operator="between">
      <formula>79.1</formula>
      <formula>100</formula>
    </cfRule>
    <cfRule type="cellIs" dxfId="13687" priority="1277" stopIfTrue="1" operator="between">
      <formula>34.1</formula>
      <formula>79</formula>
    </cfRule>
    <cfRule type="cellIs" dxfId="13686" priority="1278" stopIfTrue="1" operator="between">
      <formula>13.1</formula>
      <formula>34</formula>
    </cfRule>
    <cfRule type="cellIs" dxfId="13685" priority="1279" stopIfTrue="1" operator="between">
      <formula>5.1</formula>
      <formula>13</formula>
    </cfRule>
    <cfRule type="cellIs" dxfId="13684" priority="1280" stopIfTrue="1" operator="between">
      <formula>0</formula>
      <formula>5</formula>
    </cfRule>
    <cfRule type="containsBlanks" dxfId="13683" priority="1281" stopIfTrue="1">
      <formula>LEN(TRIM(F22))=0</formula>
    </cfRule>
  </conditionalFormatting>
  <conditionalFormatting sqref="J24">
    <cfRule type="containsBlanks" dxfId="13682" priority="1268" stopIfTrue="1">
      <formula>LEN(TRIM(J24))=0</formula>
    </cfRule>
    <cfRule type="cellIs" dxfId="13681" priority="1269" stopIfTrue="1" operator="between">
      <formula>79.1</formula>
      <formula>100</formula>
    </cfRule>
    <cfRule type="cellIs" dxfId="13680" priority="1270" stopIfTrue="1" operator="between">
      <formula>34.1</formula>
      <formula>79</formula>
    </cfRule>
    <cfRule type="cellIs" dxfId="13679" priority="1271" stopIfTrue="1" operator="between">
      <formula>13.1</formula>
      <formula>34</formula>
    </cfRule>
    <cfRule type="cellIs" dxfId="13678" priority="1272" stopIfTrue="1" operator="between">
      <formula>5.1</formula>
      <formula>13</formula>
    </cfRule>
    <cfRule type="cellIs" dxfId="13677" priority="1273" stopIfTrue="1" operator="between">
      <formula>0</formula>
      <formula>5</formula>
    </cfRule>
    <cfRule type="containsBlanks" dxfId="13676" priority="1274" stopIfTrue="1">
      <formula>LEN(TRIM(J24))=0</formula>
    </cfRule>
  </conditionalFormatting>
  <conditionalFormatting sqref="E20:G20">
    <cfRule type="containsBlanks" dxfId="13675" priority="1261" stopIfTrue="1">
      <formula>LEN(TRIM(E20))=0</formula>
    </cfRule>
    <cfRule type="cellIs" dxfId="13674" priority="1262" stopIfTrue="1" operator="between">
      <formula>80.1</formula>
      <formula>100</formula>
    </cfRule>
    <cfRule type="cellIs" dxfId="13673" priority="1263" stopIfTrue="1" operator="between">
      <formula>35.1</formula>
      <formula>80</formula>
    </cfRule>
    <cfRule type="cellIs" dxfId="13672" priority="1264" stopIfTrue="1" operator="between">
      <formula>14.1</formula>
      <formula>35</formula>
    </cfRule>
    <cfRule type="cellIs" dxfId="13671" priority="1265" stopIfTrue="1" operator="between">
      <formula>5.1</formula>
      <formula>14</formula>
    </cfRule>
    <cfRule type="cellIs" dxfId="13670" priority="1266" stopIfTrue="1" operator="between">
      <formula>0</formula>
      <formula>5</formula>
    </cfRule>
    <cfRule type="containsBlanks" dxfId="13669" priority="1267" stopIfTrue="1">
      <formula>LEN(TRIM(E20))=0</formula>
    </cfRule>
  </conditionalFormatting>
  <conditionalFormatting sqref="E21:H21">
    <cfRule type="containsBlanks" dxfId="13668" priority="1254" stopIfTrue="1">
      <formula>LEN(TRIM(E21))=0</formula>
    </cfRule>
    <cfRule type="cellIs" dxfId="13667" priority="1255" stopIfTrue="1" operator="between">
      <formula>80.1</formula>
      <formula>100</formula>
    </cfRule>
    <cfRule type="cellIs" dxfId="13666" priority="1256" stopIfTrue="1" operator="between">
      <formula>35.1</formula>
      <formula>80</formula>
    </cfRule>
    <cfRule type="cellIs" dxfId="13665" priority="1257" stopIfTrue="1" operator="between">
      <formula>14.1</formula>
      <formula>35</formula>
    </cfRule>
    <cfRule type="cellIs" dxfId="13664" priority="1258" stopIfTrue="1" operator="between">
      <formula>5.1</formula>
      <formula>14</formula>
    </cfRule>
    <cfRule type="cellIs" dxfId="13663" priority="1259" stopIfTrue="1" operator="between">
      <formula>0</formula>
      <formula>5</formula>
    </cfRule>
    <cfRule type="containsBlanks" dxfId="13662" priority="1260" stopIfTrue="1">
      <formula>LEN(TRIM(E21))=0</formula>
    </cfRule>
  </conditionalFormatting>
  <conditionalFormatting sqref="E22">
    <cfRule type="containsBlanks" dxfId="13661" priority="1247" stopIfTrue="1">
      <formula>LEN(TRIM(E22))=0</formula>
    </cfRule>
    <cfRule type="cellIs" dxfId="13660" priority="1248" stopIfTrue="1" operator="between">
      <formula>80.1</formula>
      <formula>100</formula>
    </cfRule>
    <cfRule type="cellIs" dxfId="13659" priority="1249" stopIfTrue="1" operator="between">
      <formula>35.1</formula>
      <formula>80</formula>
    </cfRule>
    <cfRule type="cellIs" dxfId="13658" priority="1250" stopIfTrue="1" operator="between">
      <formula>14.1</formula>
      <formula>35</formula>
    </cfRule>
    <cfRule type="cellIs" dxfId="13657" priority="1251" stopIfTrue="1" operator="between">
      <formula>5.1</formula>
      <formula>14</formula>
    </cfRule>
    <cfRule type="cellIs" dxfId="13656" priority="1252" stopIfTrue="1" operator="between">
      <formula>0</formula>
      <formula>5</formula>
    </cfRule>
    <cfRule type="containsBlanks" dxfId="13655" priority="1253" stopIfTrue="1">
      <formula>LEN(TRIM(E22))=0</formula>
    </cfRule>
  </conditionalFormatting>
  <conditionalFormatting sqref="E23:G23">
    <cfRule type="containsBlanks" dxfId="13654" priority="1240" stopIfTrue="1">
      <formula>LEN(TRIM(E23))=0</formula>
    </cfRule>
    <cfRule type="cellIs" dxfId="13653" priority="1241" stopIfTrue="1" operator="between">
      <formula>80.1</formula>
      <formula>100</formula>
    </cfRule>
    <cfRule type="cellIs" dxfId="13652" priority="1242" stopIfTrue="1" operator="between">
      <formula>35.1</formula>
      <formula>80</formula>
    </cfRule>
    <cfRule type="cellIs" dxfId="13651" priority="1243" stopIfTrue="1" operator="between">
      <formula>14.1</formula>
      <formula>35</formula>
    </cfRule>
    <cfRule type="cellIs" dxfId="13650" priority="1244" stopIfTrue="1" operator="between">
      <formula>5.1</formula>
      <formula>14</formula>
    </cfRule>
    <cfRule type="cellIs" dxfId="13649" priority="1245" stopIfTrue="1" operator="between">
      <formula>0</formula>
      <formula>5</formula>
    </cfRule>
    <cfRule type="containsBlanks" dxfId="13648" priority="1246" stopIfTrue="1">
      <formula>LEN(TRIM(E23))=0</formula>
    </cfRule>
  </conditionalFormatting>
  <conditionalFormatting sqref="E24:I24">
    <cfRule type="containsBlanks" dxfId="13647" priority="1233" stopIfTrue="1">
      <formula>LEN(TRIM(E24))=0</formula>
    </cfRule>
    <cfRule type="cellIs" dxfId="13646" priority="1234" stopIfTrue="1" operator="between">
      <formula>80.1</formula>
      <formula>100</formula>
    </cfRule>
    <cfRule type="cellIs" dxfId="13645" priority="1235" stopIfTrue="1" operator="between">
      <formula>35.1</formula>
      <formula>80</formula>
    </cfRule>
    <cfRule type="cellIs" dxfId="13644" priority="1236" stopIfTrue="1" operator="between">
      <formula>14.1</formula>
      <formula>35</formula>
    </cfRule>
    <cfRule type="cellIs" dxfId="13643" priority="1237" stopIfTrue="1" operator="between">
      <formula>5.1</formula>
      <formula>14</formula>
    </cfRule>
    <cfRule type="cellIs" dxfId="13642" priority="1238" stopIfTrue="1" operator="between">
      <formula>0</formula>
      <formula>5</formula>
    </cfRule>
    <cfRule type="containsBlanks" dxfId="13641" priority="1239" stopIfTrue="1">
      <formula>LEN(TRIM(E24))=0</formula>
    </cfRule>
  </conditionalFormatting>
  <conditionalFormatting sqref="E25:I25">
    <cfRule type="containsBlanks" dxfId="13640" priority="1226" stopIfTrue="1">
      <formula>LEN(TRIM(E25))=0</formula>
    </cfRule>
    <cfRule type="cellIs" dxfId="13639" priority="1227" stopIfTrue="1" operator="between">
      <formula>80.1</formula>
      <formula>100</formula>
    </cfRule>
    <cfRule type="cellIs" dxfId="13638" priority="1228" stopIfTrue="1" operator="between">
      <formula>35.1</formula>
      <formula>80</formula>
    </cfRule>
    <cfRule type="cellIs" dxfId="13637" priority="1229" stopIfTrue="1" operator="between">
      <formula>14.1</formula>
      <formula>35</formula>
    </cfRule>
    <cfRule type="cellIs" dxfId="13636" priority="1230" stopIfTrue="1" operator="between">
      <formula>5.1</formula>
      <formula>14</formula>
    </cfRule>
    <cfRule type="cellIs" dxfId="13635" priority="1231" stopIfTrue="1" operator="between">
      <formula>0</formula>
      <formula>5</formula>
    </cfRule>
    <cfRule type="containsBlanks" dxfId="13634" priority="1232" stopIfTrue="1">
      <formula>LEN(TRIM(E25))=0</formula>
    </cfRule>
  </conditionalFormatting>
  <conditionalFormatting sqref="E26:I26">
    <cfRule type="containsBlanks" dxfId="13633" priority="1219" stopIfTrue="1">
      <formula>LEN(TRIM(E26))=0</formula>
    </cfRule>
    <cfRule type="cellIs" dxfId="13632" priority="1220" stopIfTrue="1" operator="between">
      <formula>80.1</formula>
      <formula>100</formula>
    </cfRule>
    <cfRule type="cellIs" dxfId="13631" priority="1221" stopIfTrue="1" operator="between">
      <formula>35.1</formula>
      <formula>80</formula>
    </cfRule>
    <cfRule type="cellIs" dxfId="13630" priority="1222" stopIfTrue="1" operator="between">
      <formula>14.1</formula>
      <formula>35</formula>
    </cfRule>
    <cfRule type="cellIs" dxfId="13629" priority="1223" stopIfTrue="1" operator="between">
      <formula>5.1</formula>
      <formula>14</formula>
    </cfRule>
    <cfRule type="cellIs" dxfId="13628" priority="1224" stopIfTrue="1" operator="between">
      <formula>0</formula>
      <formula>5</formula>
    </cfRule>
    <cfRule type="containsBlanks" dxfId="13627" priority="1225" stopIfTrue="1">
      <formula>LEN(TRIM(E26))=0</formula>
    </cfRule>
  </conditionalFormatting>
  <conditionalFormatting sqref="E27:I27">
    <cfRule type="containsBlanks" dxfId="13626" priority="1212" stopIfTrue="1">
      <formula>LEN(TRIM(E27))=0</formula>
    </cfRule>
    <cfRule type="cellIs" dxfId="13625" priority="1213" stopIfTrue="1" operator="between">
      <formula>80.1</formula>
      <formula>100</formula>
    </cfRule>
    <cfRule type="cellIs" dxfId="13624" priority="1214" stopIfTrue="1" operator="between">
      <formula>35.1</formula>
      <formula>80</formula>
    </cfRule>
    <cfRule type="cellIs" dxfId="13623" priority="1215" stopIfTrue="1" operator="between">
      <formula>14.1</formula>
      <formula>35</formula>
    </cfRule>
    <cfRule type="cellIs" dxfId="13622" priority="1216" stopIfTrue="1" operator="between">
      <formula>5.1</formula>
      <formula>14</formula>
    </cfRule>
    <cfRule type="cellIs" dxfId="13621" priority="1217" stopIfTrue="1" operator="between">
      <formula>0</formula>
      <formula>5</formula>
    </cfRule>
    <cfRule type="containsBlanks" dxfId="13620" priority="1218" stopIfTrue="1">
      <formula>LEN(TRIM(E27))=0</formula>
    </cfRule>
  </conditionalFormatting>
  <conditionalFormatting sqref="K29:P31">
    <cfRule type="containsBlanks" dxfId="13619" priority="1205" stopIfTrue="1">
      <formula>LEN(TRIM(K29))=0</formula>
    </cfRule>
    <cfRule type="cellIs" dxfId="13618" priority="1206" stopIfTrue="1" operator="between">
      <formula>80.1</formula>
      <formula>100</formula>
    </cfRule>
    <cfRule type="cellIs" dxfId="13617" priority="1207" stopIfTrue="1" operator="between">
      <formula>35.1</formula>
      <formula>80</formula>
    </cfRule>
    <cfRule type="cellIs" dxfId="13616" priority="1208" stopIfTrue="1" operator="between">
      <formula>14.1</formula>
      <formula>35</formula>
    </cfRule>
    <cfRule type="cellIs" dxfId="13615" priority="1209" stopIfTrue="1" operator="between">
      <formula>5.1</formula>
      <formula>14</formula>
    </cfRule>
    <cfRule type="cellIs" dxfId="13614" priority="1210" stopIfTrue="1" operator="between">
      <formula>0</formula>
      <formula>5</formula>
    </cfRule>
    <cfRule type="containsBlanks" dxfId="13613" priority="1211" stopIfTrue="1">
      <formula>LEN(TRIM(K29))=0</formula>
    </cfRule>
  </conditionalFormatting>
  <conditionalFormatting sqref="I29:J29 G30:J30 I31:J31">
    <cfRule type="containsBlanks" dxfId="13612" priority="1198" stopIfTrue="1">
      <formula>LEN(TRIM(G29))=0</formula>
    </cfRule>
    <cfRule type="cellIs" dxfId="13611" priority="1199" stopIfTrue="1" operator="between">
      <formula>80.1</formula>
      <formula>100</formula>
    </cfRule>
    <cfRule type="cellIs" dxfId="13610" priority="1200" stopIfTrue="1" operator="between">
      <formula>35.1</formula>
      <formula>80</formula>
    </cfRule>
    <cfRule type="cellIs" dxfId="13609" priority="1201" stopIfTrue="1" operator="between">
      <formula>14.1</formula>
      <formula>35</formula>
    </cfRule>
    <cfRule type="cellIs" dxfId="13608" priority="1202" stopIfTrue="1" operator="between">
      <formula>5.1</formula>
      <formula>14</formula>
    </cfRule>
    <cfRule type="cellIs" dxfId="13607" priority="1203" stopIfTrue="1" operator="between">
      <formula>0</formula>
      <formula>5</formula>
    </cfRule>
    <cfRule type="containsBlanks" dxfId="13606" priority="1204" stopIfTrue="1">
      <formula>LEN(TRIM(G29))=0</formula>
    </cfRule>
  </conditionalFormatting>
  <conditionalFormatting sqref="I29:J29">
    <cfRule type="containsBlanks" dxfId="13605" priority="1191" stopIfTrue="1">
      <formula>LEN(TRIM(I29))=0</formula>
    </cfRule>
    <cfRule type="cellIs" dxfId="13604" priority="1192" stopIfTrue="1" operator="between">
      <formula>80.1</formula>
      <formula>100</formula>
    </cfRule>
    <cfRule type="cellIs" dxfId="13603" priority="1193" stopIfTrue="1" operator="between">
      <formula>35.1</formula>
      <formula>80</formula>
    </cfRule>
    <cfRule type="cellIs" dxfId="13602" priority="1194" stopIfTrue="1" operator="between">
      <formula>14.1</formula>
      <formula>35</formula>
    </cfRule>
    <cfRule type="cellIs" dxfId="13601" priority="1195" stopIfTrue="1" operator="between">
      <formula>5.1</formula>
      <formula>14</formula>
    </cfRule>
    <cfRule type="cellIs" dxfId="13600" priority="1196" stopIfTrue="1" operator="between">
      <formula>0</formula>
      <formula>5</formula>
    </cfRule>
    <cfRule type="containsBlanks" dxfId="13599" priority="1197" stopIfTrue="1">
      <formula>LEN(TRIM(I29))=0</formula>
    </cfRule>
  </conditionalFormatting>
  <conditionalFormatting sqref="G30:J30">
    <cfRule type="containsBlanks" dxfId="13598" priority="1184" stopIfTrue="1">
      <formula>LEN(TRIM(G30))=0</formula>
    </cfRule>
    <cfRule type="cellIs" dxfId="13597" priority="1185" stopIfTrue="1" operator="between">
      <formula>80.1</formula>
      <formula>100</formula>
    </cfRule>
    <cfRule type="cellIs" dxfId="13596" priority="1186" stopIfTrue="1" operator="between">
      <formula>35.1</formula>
      <formula>80</formula>
    </cfRule>
    <cfRule type="cellIs" dxfId="13595" priority="1187" stopIfTrue="1" operator="between">
      <formula>14.1</formula>
      <formula>35</formula>
    </cfRule>
    <cfRule type="cellIs" dxfId="13594" priority="1188" stopIfTrue="1" operator="between">
      <formula>5.1</formula>
      <formula>14</formula>
    </cfRule>
    <cfRule type="cellIs" dxfId="13593" priority="1189" stopIfTrue="1" operator="between">
      <formula>0</formula>
      <formula>5</formula>
    </cfRule>
    <cfRule type="containsBlanks" dxfId="13592" priority="1190" stopIfTrue="1">
      <formula>LEN(TRIM(G30))=0</formula>
    </cfRule>
  </conditionalFormatting>
  <conditionalFormatting sqref="E30:F30">
    <cfRule type="containsBlanks" dxfId="13591" priority="1170" stopIfTrue="1">
      <formula>LEN(TRIM(E30))=0</formula>
    </cfRule>
    <cfRule type="cellIs" dxfId="13590" priority="1171" stopIfTrue="1" operator="between">
      <formula>80.1</formula>
      <formula>100</formula>
    </cfRule>
    <cfRule type="cellIs" dxfId="13589" priority="1172" stopIfTrue="1" operator="between">
      <formula>35.1</formula>
      <formula>80</formula>
    </cfRule>
    <cfRule type="cellIs" dxfId="13588" priority="1173" stopIfTrue="1" operator="between">
      <formula>14.1</formula>
      <formula>35</formula>
    </cfRule>
    <cfRule type="cellIs" dxfId="13587" priority="1174" stopIfTrue="1" operator="between">
      <formula>5.1</formula>
      <formula>14</formula>
    </cfRule>
    <cfRule type="cellIs" dxfId="13586" priority="1175" stopIfTrue="1" operator="between">
      <formula>0</formula>
      <formula>5</formula>
    </cfRule>
    <cfRule type="containsBlanks" dxfId="13585" priority="1176" stopIfTrue="1">
      <formula>LEN(TRIM(E30))=0</formula>
    </cfRule>
  </conditionalFormatting>
  <conditionalFormatting sqref="E29:H29">
    <cfRule type="containsBlanks" dxfId="13584" priority="1177" stopIfTrue="1">
      <formula>LEN(TRIM(E29))=0</formula>
    </cfRule>
    <cfRule type="cellIs" dxfId="13583" priority="1178" stopIfTrue="1" operator="between">
      <formula>80.1</formula>
      <formula>100</formula>
    </cfRule>
    <cfRule type="cellIs" dxfId="13582" priority="1179" stopIfTrue="1" operator="between">
      <formula>35.1</formula>
      <formula>80</formula>
    </cfRule>
    <cfRule type="cellIs" dxfId="13581" priority="1180" stopIfTrue="1" operator="between">
      <formula>14.1</formula>
      <formula>35</formula>
    </cfRule>
    <cfRule type="cellIs" dxfId="13580" priority="1181" stopIfTrue="1" operator="between">
      <formula>5.1</formula>
      <formula>14</formula>
    </cfRule>
    <cfRule type="cellIs" dxfId="13579" priority="1182" stopIfTrue="1" operator="between">
      <formula>0</formula>
      <formula>5</formula>
    </cfRule>
    <cfRule type="containsBlanks" dxfId="13578" priority="1183" stopIfTrue="1">
      <formula>LEN(TRIM(E29))=0</formula>
    </cfRule>
  </conditionalFormatting>
  <conditionalFormatting sqref="E31:H31">
    <cfRule type="containsBlanks" dxfId="13577" priority="1163" stopIfTrue="1">
      <formula>LEN(TRIM(E31))=0</formula>
    </cfRule>
    <cfRule type="cellIs" dxfId="13576" priority="1164" stopIfTrue="1" operator="between">
      <formula>80.1</formula>
      <formula>100</formula>
    </cfRule>
    <cfRule type="cellIs" dxfId="13575" priority="1165" stopIfTrue="1" operator="between">
      <formula>35.1</formula>
      <formula>80</formula>
    </cfRule>
    <cfRule type="cellIs" dxfId="13574" priority="1166" stopIfTrue="1" operator="between">
      <formula>14.1</formula>
      <formula>35</formula>
    </cfRule>
    <cfRule type="cellIs" dxfId="13573" priority="1167" stopIfTrue="1" operator="between">
      <formula>5.1</formula>
      <formula>14</formula>
    </cfRule>
    <cfRule type="cellIs" dxfId="13572" priority="1168" stopIfTrue="1" operator="between">
      <formula>0</formula>
      <formula>5</formula>
    </cfRule>
    <cfRule type="containsBlanks" dxfId="13571" priority="1169" stopIfTrue="1">
      <formula>LEN(TRIM(E31))=0</formula>
    </cfRule>
  </conditionalFormatting>
  <conditionalFormatting sqref="K33:P37">
    <cfRule type="containsBlanks" dxfId="13570" priority="1156" stopIfTrue="1">
      <formula>LEN(TRIM(K33))=0</formula>
    </cfRule>
    <cfRule type="cellIs" dxfId="13569" priority="1157" stopIfTrue="1" operator="between">
      <formula>80.1</formula>
      <formula>100</formula>
    </cfRule>
    <cfRule type="cellIs" dxfId="13568" priority="1158" stopIfTrue="1" operator="between">
      <formula>35.1</formula>
      <formula>80</formula>
    </cfRule>
    <cfRule type="cellIs" dxfId="13567" priority="1159" stopIfTrue="1" operator="between">
      <formula>14.1</formula>
      <formula>35</formula>
    </cfRule>
    <cfRule type="cellIs" dxfId="13566" priority="1160" stopIfTrue="1" operator="between">
      <formula>5.1</formula>
      <formula>14</formula>
    </cfRule>
    <cfRule type="cellIs" dxfId="13565" priority="1161" stopIfTrue="1" operator="between">
      <formula>0</formula>
      <formula>5</formula>
    </cfRule>
    <cfRule type="containsBlanks" dxfId="13564" priority="1162" stopIfTrue="1">
      <formula>LEN(TRIM(K33))=0</formula>
    </cfRule>
  </conditionalFormatting>
  <conditionalFormatting sqref="I33:J33 J34 G35:J35 F36:J36 H37:J37">
    <cfRule type="containsBlanks" dxfId="13563" priority="1149" stopIfTrue="1">
      <formula>LEN(TRIM(F33))=0</formula>
    </cfRule>
    <cfRule type="cellIs" dxfId="13562" priority="1150" stopIfTrue="1" operator="between">
      <formula>80.1</formula>
      <formula>100</formula>
    </cfRule>
    <cfRule type="cellIs" dxfId="13561" priority="1151" stopIfTrue="1" operator="between">
      <formula>35.1</formula>
      <formula>80</formula>
    </cfRule>
    <cfRule type="cellIs" dxfId="13560" priority="1152" stopIfTrue="1" operator="between">
      <formula>14.1</formula>
      <formula>35</formula>
    </cfRule>
    <cfRule type="cellIs" dxfId="13559" priority="1153" stopIfTrue="1" operator="between">
      <formula>5.1</formula>
      <formula>14</formula>
    </cfRule>
    <cfRule type="cellIs" dxfId="13558" priority="1154" stopIfTrue="1" operator="between">
      <formula>0</formula>
      <formula>5</formula>
    </cfRule>
    <cfRule type="containsBlanks" dxfId="13557" priority="1155" stopIfTrue="1">
      <formula>LEN(TRIM(F33))=0</formula>
    </cfRule>
  </conditionalFormatting>
  <conditionalFormatting sqref="F36:J36">
    <cfRule type="containsBlanks" dxfId="13556" priority="1142" stopIfTrue="1">
      <formula>LEN(TRIM(F36))=0</formula>
    </cfRule>
    <cfRule type="cellIs" dxfId="13555" priority="1143" stopIfTrue="1" operator="between">
      <formula>79.1</formula>
      <formula>100</formula>
    </cfRule>
    <cfRule type="cellIs" dxfId="13554" priority="1144" stopIfTrue="1" operator="between">
      <formula>34.1</formula>
      <formula>79</formula>
    </cfRule>
    <cfRule type="cellIs" dxfId="13553" priority="1145" stopIfTrue="1" operator="between">
      <formula>13.1</formula>
      <formula>34</formula>
    </cfRule>
    <cfRule type="cellIs" dxfId="13552" priority="1146" stopIfTrue="1" operator="between">
      <formula>5.1</formula>
      <formula>13</formula>
    </cfRule>
    <cfRule type="cellIs" dxfId="13551" priority="1147" stopIfTrue="1" operator="between">
      <formula>0</formula>
      <formula>5</formula>
    </cfRule>
    <cfRule type="containsBlanks" dxfId="13550" priority="1148" stopIfTrue="1">
      <formula>LEN(TRIM(F36))=0</formula>
    </cfRule>
  </conditionalFormatting>
  <conditionalFormatting sqref="G35:J35">
    <cfRule type="containsBlanks" dxfId="13549" priority="1135" stopIfTrue="1">
      <formula>LEN(TRIM(G35))=0</formula>
    </cfRule>
    <cfRule type="cellIs" dxfId="13548" priority="1136" stopIfTrue="1" operator="between">
      <formula>80.1</formula>
      <formula>100</formula>
    </cfRule>
    <cfRule type="cellIs" dxfId="13547" priority="1137" stopIfTrue="1" operator="between">
      <formula>35.1</formula>
      <formula>80</formula>
    </cfRule>
    <cfRule type="cellIs" dxfId="13546" priority="1138" stopIfTrue="1" operator="between">
      <formula>14.1</formula>
      <formula>35</formula>
    </cfRule>
    <cfRule type="cellIs" dxfId="13545" priority="1139" stopIfTrue="1" operator="between">
      <formula>5.1</formula>
      <formula>14</formula>
    </cfRule>
    <cfRule type="cellIs" dxfId="13544" priority="1140" stopIfTrue="1" operator="between">
      <formula>0</formula>
      <formula>5</formula>
    </cfRule>
    <cfRule type="containsBlanks" dxfId="13543" priority="1141" stopIfTrue="1">
      <formula>LEN(TRIM(G35))=0</formula>
    </cfRule>
  </conditionalFormatting>
  <conditionalFormatting sqref="H37:J37">
    <cfRule type="containsBlanks" dxfId="13542" priority="1128" stopIfTrue="1">
      <formula>LEN(TRIM(H37))=0</formula>
    </cfRule>
    <cfRule type="cellIs" dxfId="13541" priority="1129" stopIfTrue="1" operator="between">
      <formula>80.1</formula>
      <formula>100</formula>
    </cfRule>
    <cfRule type="cellIs" dxfId="13540" priority="1130" stopIfTrue="1" operator="between">
      <formula>35.1</formula>
      <formula>80</formula>
    </cfRule>
    <cfRule type="cellIs" dxfId="13539" priority="1131" stopIfTrue="1" operator="between">
      <formula>14.1</formula>
      <formula>35</formula>
    </cfRule>
    <cfRule type="cellIs" dxfId="13538" priority="1132" stopIfTrue="1" operator="between">
      <formula>5.1</formula>
      <formula>14</formula>
    </cfRule>
    <cfRule type="cellIs" dxfId="13537" priority="1133" stopIfTrue="1" operator="between">
      <formula>0</formula>
      <formula>5</formula>
    </cfRule>
    <cfRule type="containsBlanks" dxfId="13536" priority="1134" stopIfTrue="1">
      <formula>LEN(TRIM(H37))=0</formula>
    </cfRule>
  </conditionalFormatting>
  <conditionalFormatting sqref="J34">
    <cfRule type="containsBlanks" dxfId="13535" priority="1121" stopIfTrue="1">
      <formula>LEN(TRIM(J34))=0</formula>
    </cfRule>
    <cfRule type="cellIs" dxfId="13534" priority="1122" stopIfTrue="1" operator="between">
      <formula>80.1</formula>
      <formula>100</formula>
    </cfRule>
    <cfRule type="cellIs" dxfId="13533" priority="1123" stopIfTrue="1" operator="between">
      <formula>35.1</formula>
      <formula>80</formula>
    </cfRule>
    <cfRule type="cellIs" dxfId="13532" priority="1124" stopIfTrue="1" operator="between">
      <formula>14.1</formula>
      <formula>35</formula>
    </cfRule>
    <cfRule type="cellIs" dxfId="13531" priority="1125" stopIfTrue="1" operator="between">
      <formula>5.1</formula>
      <formula>14</formula>
    </cfRule>
    <cfRule type="cellIs" dxfId="13530" priority="1126" stopIfTrue="1" operator="between">
      <formula>0</formula>
      <formula>5</formula>
    </cfRule>
    <cfRule type="containsBlanks" dxfId="13529" priority="1127" stopIfTrue="1">
      <formula>LEN(TRIM(J34))=0</formula>
    </cfRule>
  </conditionalFormatting>
  <conditionalFormatting sqref="E33:H33">
    <cfRule type="containsBlanks" dxfId="13528" priority="1114" stopIfTrue="1">
      <formula>LEN(TRIM(E33))=0</formula>
    </cfRule>
    <cfRule type="cellIs" dxfId="13527" priority="1115" stopIfTrue="1" operator="between">
      <formula>80.1</formula>
      <formula>100</formula>
    </cfRule>
    <cfRule type="cellIs" dxfId="13526" priority="1116" stopIfTrue="1" operator="between">
      <formula>35.1</formula>
      <formula>80</formula>
    </cfRule>
    <cfRule type="cellIs" dxfId="13525" priority="1117" stopIfTrue="1" operator="between">
      <formula>14.1</formula>
      <formula>35</formula>
    </cfRule>
    <cfRule type="cellIs" dxfId="13524" priority="1118" stopIfTrue="1" operator="between">
      <formula>5.1</formula>
      <formula>14</formula>
    </cfRule>
    <cfRule type="cellIs" dxfId="13523" priority="1119" stopIfTrue="1" operator="between">
      <formula>0</formula>
      <formula>5</formula>
    </cfRule>
    <cfRule type="containsBlanks" dxfId="13522" priority="1120" stopIfTrue="1">
      <formula>LEN(TRIM(E33))=0</formula>
    </cfRule>
  </conditionalFormatting>
  <conditionalFormatting sqref="E34:I34">
    <cfRule type="containsBlanks" dxfId="13521" priority="1107" stopIfTrue="1">
      <formula>LEN(TRIM(E34))=0</formula>
    </cfRule>
    <cfRule type="cellIs" dxfId="13520" priority="1108" stopIfTrue="1" operator="between">
      <formula>80.1</formula>
      <formula>100</formula>
    </cfRule>
    <cfRule type="cellIs" dxfId="13519" priority="1109" stopIfTrue="1" operator="between">
      <formula>35.1</formula>
      <formula>80</formula>
    </cfRule>
    <cfRule type="cellIs" dxfId="13518" priority="1110" stopIfTrue="1" operator="between">
      <formula>14.1</formula>
      <formula>35</formula>
    </cfRule>
    <cfRule type="cellIs" dxfId="13517" priority="1111" stopIfTrue="1" operator="between">
      <formula>5.1</formula>
      <formula>14</formula>
    </cfRule>
    <cfRule type="cellIs" dxfId="13516" priority="1112" stopIfTrue="1" operator="between">
      <formula>0</formula>
      <formula>5</formula>
    </cfRule>
    <cfRule type="containsBlanks" dxfId="13515" priority="1113" stopIfTrue="1">
      <formula>LEN(TRIM(E34))=0</formula>
    </cfRule>
  </conditionalFormatting>
  <conditionalFormatting sqref="E35:F35">
    <cfRule type="containsBlanks" dxfId="13514" priority="1100" stopIfTrue="1">
      <formula>LEN(TRIM(E35))=0</formula>
    </cfRule>
    <cfRule type="cellIs" dxfId="13513" priority="1101" stopIfTrue="1" operator="between">
      <formula>80.1</formula>
      <formula>100</formula>
    </cfRule>
    <cfRule type="cellIs" dxfId="13512" priority="1102" stopIfTrue="1" operator="between">
      <formula>35.1</formula>
      <formula>80</formula>
    </cfRule>
    <cfRule type="cellIs" dxfId="13511" priority="1103" stopIfTrue="1" operator="between">
      <formula>14.1</formula>
      <formula>35</formula>
    </cfRule>
    <cfRule type="cellIs" dxfId="13510" priority="1104" stopIfTrue="1" operator="between">
      <formula>5.1</formula>
      <formula>14</formula>
    </cfRule>
    <cfRule type="cellIs" dxfId="13509" priority="1105" stopIfTrue="1" operator="between">
      <formula>0</formula>
      <formula>5</formula>
    </cfRule>
    <cfRule type="containsBlanks" dxfId="13508" priority="1106" stopIfTrue="1">
      <formula>LEN(TRIM(E35))=0</formula>
    </cfRule>
  </conditionalFormatting>
  <conditionalFormatting sqref="E36">
    <cfRule type="containsBlanks" dxfId="13507" priority="1093" stopIfTrue="1">
      <formula>LEN(TRIM(E36))=0</formula>
    </cfRule>
    <cfRule type="cellIs" dxfId="13506" priority="1094" stopIfTrue="1" operator="between">
      <formula>80.1</formula>
      <formula>100</formula>
    </cfRule>
    <cfRule type="cellIs" dxfId="13505" priority="1095" stopIfTrue="1" operator="between">
      <formula>35.1</formula>
      <formula>80</formula>
    </cfRule>
    <cfRule type="cellIs" dxfId="13504" priority="1096" stopIfTrue="1" operator="between">
      <formula>14.1</formula>
      <formula>35</formula>
    </cfRule>
    <cfRule type="cellIs" dxfId="13503" priority="1097" stopIfTrue="1" operator="between">
      <formula>5.1</formula>
      <formula>14</formula>
    </cfRule>
    <cfRule type="cellIs" dxfId="13502" priority="1098" stopIfTrue="1" operator="between">
      <formula>0</formula>
      <formula>5</formula>
    </cfRule>
    <cfRule type="containsBlanks" dxfId="13501" priority="1099" stopIfTrue="1">
      <formula>LEN(TRIM(E36))=0</formula>
    </cfRule>
  </conditionalFormatting>
  <conditionalFormatting sqref="E37:G37">
    <cfRule type="containsBlanks" dxfId="13500" priority="1086" stopIfTrue="1">
      <formula>LEN(TRIM(E37))=0</formula>
    </cfRule>
    <cfRule type="cellIs" dxfId="13499" priority="1087" stopIfTrue="1" operator="between">
      <formula>80.1</formula>
      <formula>100</formula>
    </cfRule>
    <cfRule type="cellIs" dxfId="13498" priority="1088" stopIfTrue="1" operator="between">
      <formula>35.1</formula>
      <formula>80</formula>
    </cfRule>
    <cfRule type="cellIs" dxfId="13497" priority="1089" stopIfTrue="1" operator="between">
      <formula>14.1</formula>
      <formula>35</formula>
    </cfRule>
    <cfRule type="cellIs" dxfId="13496" priority="1090" stopIfTrue="1" operator="between">
      <formula>5.1</formula>
      <formula>14</formula>
    </cfRule>
    <cfRule type="cellIs" dxfId="13495" priority="1091" stopIfTrue="1" operator="between">
      <formula>0</formula>
      <formula>5</formula>
    </cfRule>
    <cfRule type="containsBlanks" dxfId="13494" priority="1092" stopIfTrue="1">
      <formula>LEN(TRIM(E37))=0</formula>
    </cfRule>
  </conditionalFormatting>
  <conditionalFormatting sqref="K38:P40">
    <cfRule type="containsBlanks" dxfId="13493" priority="1079" stopIfTrue="1">
      <formula>LEN(TRIM(K38))=0</formula>
    </cfRule>
    <cfRule type="cellIs" dxfId="13492" priority="1080" stopIfTrue="1" operator="between">
      <formula>80.1</formula>
      <formula>100</formula>
    </cfRule>
    <cfRule type="cellIs" dxfId="13491" priority="1081" stopIfTrue="1" operator="between">
      <formula>35.1</formula>
      <formula>80</formula>
    </cfRule>
    <cfRule type="cellIs" dxfId="13490" priority="1082" stopIfTrue="1" operator="between">
      <formula>14.1</formula>
      <formula>35</formula>
    </cfRule>
    <cfRule type="cellIs" dxfId="13489" priority="1083" stopIfTrue="1" operator="between">
      <formula>5.1</formula>
      <formula>14</formula>
    </cfRule>
    <cfRule type="cellIs" dxfId="13488" priority="1084" stopIfTrue="1" operator="between">
      <formula>0</formula>
      <formula>5</formula>
    </cfRule>
    <cfRule type="containsBlanks" dxfId="13487" priority="1085" stopIfTrue="1">
      <formula>LEN(TRIM(K38))=0</formula>
    </cfRule>
  </conditionalFormatting>
  <conditionalFormatting sqref="I38:J38 J39:J40">
    <cfRule type="containsBlanks" dxfId="13486" priority="1072" stopIfTrue="1">
      <formula>LEN(TRIM(I38))=0</formula>
    </cfRule>
    <cfRule type="cellIs" dxfId="13485" priority="1073" stopIfTrue="1" operator="between">
      <formula>80.1</formula>
      <formula>100</formula>
    </cfRule>
    <cfRule type="cellIs" dxfId="13484" priority="1074" stopIfTrue="1" operator="between">
      <formula>35.1</formula>
      <formula>80</formula>
    </cfRule>
    <cfRule type="cellIs" dxfId="13483" priority="1075" stopIfTrue="1" operator="between">
      <formula>14.1</formula>
      <formula>35</formula>
    </cfRule>
    <cfRule type="cellIs" dxfId="13482" priority="1076" stopIfTrue="1" operator="between">
      <formula>5.1</formula>
      <formula>14</formula>
    </cfRule>
    <cfRule type="cellIs" dxfId="13481" priority="1077" stopIfTrue="1" operator="between">
      <formula>0</formula>
      <formula>5</formula>
    </cfRule>
    <cfRule type="containsBlanks" dxfId="13480" priority="1078" stopIfTrue="1">
      <formula>LEN(TRIM(I38))=0</formula>
    </cfRule>
  </conditionalFormatting>
  <conditionalFormatting sqref="E38:F38 H38">
    <cfRule type="containsBlanks" dxfId="13479" priority="1065" stopIfTrue="1">
      <formula>LEN(TRIM(E38))=0</formula>
    </cfRule>
    <cfRule type="cellIs" dxfId="13478" priority="1066" stopIfTrue="1" operator="between">
      <formula>80.1</formula>
      <formula>100</formula>
    </cfRule>
    <cfRule type="cellIs" dxfId="13477" priority="1067" stopIfTrue="1" operator="between">
      <formula>35.1</formula>
      <formula>80</formula>
    </cfRule>
    <cfRule type="cellIs" dxfId="13476" priority="1068" stopIfTrue="1" operator="between">
      <formula>14.1</formula>
      <formula>35</formula>
    </cfRule>
    <cfRule type="cellIs" dxfId="13475" priority="1069" stopIfTrue="1" operator="between">
      <formula>5.1</formula>
      <formula>14</formula>
    </cfRule>
    <cfRule type="cellIs" dxfId="13474" priority="1070" stopIfTrue="1" operator="between">
      <formula>0</formula>
      <formula>5</formula>
    </cfRule>
    <cfRule type="containsBlanks" dxfId="13473" priority="1071" stopIfTrue="1">
      <formula>LEN(TRIM(E38))=0</formula>
    </cfRule>
  </conditionalFormatting>
  <conditionalFormatting sqref="E39:I39">
    <cfRule type="containsBlanks" dxfId="13472" priority="1058" stopIfTrue="1">
      <formula>LEN(TRIM(E39))=0</formula>
    </cfRule>
    <cfRule type="cellIs" dxfId="13471" priority="1059" stopIfTrue="1" operator="between">
      <formula>80.1</formula>
      <formula>100</formula>
    </cfRule>
    <cfRule type="cellIs" dxfId="13470" priority="1060" stopIfTrue="1" operator="between">
      <formula>35.1</formula>
      <formula>80</formula>
    </cfRule>
    <cfRule type="cellIs" dxfId="13469" priority="1061" stopIfTrue="1" operator="between">
      <formula>14.1</formula>
      <formula>35</formula>
    </cfRule>
    <cfRule type="cellIs" dxfId="13468" priority="1062" stopIfTrue="1" operator="between">
      <formula>5.1</formula>
      <formula>14</formula>
    </cfRule>
    <cfRule type="cellIs" dxfId="13467" priority="1063" stopIfTrue="1" operator="between">
      <formula>0</formula>
      <formula>5</formula>
    </cfRule>
    <cfRule type="containsBlanks" dxfId="13466" priority="1064" stopIfTrue="1">
      <formula>LEN(TRIM(E39))=0</formula>
    </cfRule>
  </conditionalFormatting>
  <conditionalFormatting sqref="E40:I40">
    <cfRule type="containsBlanks" dxfId="13465" priority="1051" stopIfTrue="1">
      <formula>LEN(TRIM(E40))=0</formula>
    </cfRule>
    <cfRule type="cellIs" dxfId="13464" priority="1052" stopIfTrue="1" operator="between">
      <formula>80.1</formula>
      <formula>100</formula>
    </cfRule>
    <cfRule type="cellIs" dxfId="13463" priority="1053" stopIfTrue="1" operator="between">
      <formula>35.1</formula>
      <formula>80</formula>
    </cfRule>
    <cfRule type="cellIs" dxfId="13462" priority="1054" stopIfTrue="1" operator="between">
      <formula>14.1</formula>
      <formula>35</formula>
    </cfRule>
    <cfRule type="cellIs" dxfId="13461" priority="1055" stopIfTrue="1" operator="between">
      <formula>5.1</formula>
      <formula>14</formula>
    </cfRule>
    <cfRule type="cellIs" dxfId="13460" priority="1056" stopIfTrue="1" operator="between">
      <formula>0</formula>
      <formula>5</formula>
    </cfRule>
    <cfRule type="containsBlanks" dxfId="13459" priority="1057" stopIfTrue="1">
      <formula>LEN(TRIM(E40))=0</formula>
    </cfRule>
  </conditionalFormatting>
  <conditionalFormatting sqref="K42:P47">
    <cfRule type="containsBlanks" dxfId="13458" priority="1044" stopIfTrue="1">
      <formula>LEN(TRIM(K42))=0</formula>
    </cfRule>
    <cfRule type="cellIs" dxfId="13457" priority="1045" stopIfTrue="1" operator="between">
      <formula>80.1</formula>
      <formula>100</formula>
    </cfRule>
    <cfRule type="cellIs" dxfId="13456" priority="1046" stopIfTrue="1" operator="between">
      <formula>35.1</formula>
      <formula>80</formula>
    </cfRule>
    <cfRule type="cellIs" dxfId="13455" priority="1047" stopIfTrue="1" operator="between">
      <formula>14.1</formula>
      <formula>35</formula>
    </cfRule>
    <cfRule type="cellIs" dxfId="13454" priority="1048" stopIfTrue="1" operator="between">
      <formula>5.1</formula>
      <formula>14</formula>
    </cfRule>
    <cfRule type="cellIs" dxfId="13453" priority="1049" stopIfTrue="1" operator="between">
      <formula>0</formula>
      <formula>5</formula>
    </cfRule>
    <cfRule type="containsBlanks" dxfId="13452" priority="1050" stopIfTrue="1">
      <formula>LEN(TRIM(K42))=0</formula>
    </cfRule>
  </conditionalFormatting>
  <conditionalFormatting sqref="J42:J45 G46:J47">
    <cfRule type="containsBlanks" dxfId="13451" priority="1037" stopIfTrue="1">
      <formula>LEN(TRIM(G42))=0</formula>
    </cfRule>
    <cfRule type="cellIs" dxfId="13450" priority="1038" stopIfTrue="1" operator="between">
      <formula>80.1</formula>
      <formula>100</formula>
    </cfRule>
    <cfRule type="cellIs" dxfId="13449" priority="1039" stopIfTrue="1" operator="between">
      <formula>35.1</formula>
      <formula>80</formula>
    </cfRule>
    <cfRule type="cellIs" dxfId="13448" priority="1040" stopIfTrue="1" operator="between">
      <formula>14.1</formula>
      <formula>35</formula>
    </cfRule>
    <cfRule type="cellIs" dxfId="13447" priority="1041" stopIfTrue="1" operator="between">
      <formula>5.1</formula>
      <formula>14</formula>
    </cfRule>
    <cfRule type="cellIs" dxfId="13446" priority="1042" stopIfTrue="1" operator="between">
      <formula>0</formula>
      <formula>5</formula>
    </cfRule>
    <cfRule type="containsBlanks" dxfId="13445" priority="1043" stopIfTrue="1">
      <formula>LEN(TRIM(G42))=0</formula>
    </cfRule>
  </conditionalFormatting>
  <conditionalFormatting sqref="G47:J47">
    <cfRule type="containsBlanks" dxfId="13444" priority="1030" stopIfTrue="1">
      <formula>LEN(TRIM(G47))=0</formula>
    </cfRule>
    <cfRule type="cellIs" dxfId="13443" priority="1031" stopIfTrue="1" operator="between">
      <formula>80.1</formula>
      <formula>100</formula>
    </cfRule>
    <cfRule type="cellIs" dxfId="13442" priority="1032" stopIfTrue="1" operator="between">
      <formula>35.1</formula>
      <formula>80</formula>
    </cfRule>
    <cfRule type="cellIs" dxfId="13441" priority="1033" stopIfTrue="1" operator="between">
      <formula>14.1</formula>
      <formula>35</formula>
    </cfRule>
    <cfRule type="cellIs" dxfId="13440" priority="1034" stopIfTrue="1" operator="between">
      <formula>5.1</formula>
      <formula>14</formula>
    </cfRule>
    <cfRule type="cellIs" dxfId="13439" priority="1035" stopIfTrue="1" operator="between">
      <formula>0</formula>
      <formula>5</formula>
    </cfRule>
    <cfRule type="containsBlanks" dxfId="13438" priority="1036" stopIfTrue="1">
      <formula>LEN(TRIM(G47))=0</formula>
    </cfRule>
  </conditionalFormatting>
  <conditionalFormatting sqref="E42:I42">
    <cfRule type="containsBlanks" dxfId="13437" priority="1023" stopIfTrue="1">
      <formula>LEN(TRIM(E42))=0</formula>
    </cfRule>
    <cfRule type="cellIs" dxfId="13436" priority="1024" stopIfTrue="1" operator="between">
      <formula>80.1</formula>
      <formula>100</formula>
    </cfRule>
    <cfRule type="cellIs" dxfId="13435" priority="1025" stopIfTrue="1" operator="between">
      <formula>35.1</formula>
      <formula>80</formula>
    </cfRule>
    <cfRule type="cellIs" dxfId="13434" priority="1026" stopIfTrue="1" operator="between">
      <formula>14.1</formula>
      <formula>35</formula>
    </cfRule>
    <cfRule type="cellIs" dxfId="13433" priority="1027" stopIfTrue="1" operator="between">
      <formula>5.1</formula>
      <formula>14</formula>
    </cfRule>
    <cfRule type="cellIs" dxfId="13432" priority="1028" stopIfTrue="1" operator="between">
      <formula>0</formula>
      <formula>5</formula>
    </cfRule>
    <cfRule type="containsBlanks" dxfId="13431" priority="1029" stopIfTrue="1">
      <formula>LEN(TRIM(E42))=0</formula>
    </cfRule>
  </conditionalFormatting>
  <conditionalFormatting sqref="E43:I43">
    <cfRule type="containsBlanks" dxfId="13430" priority="1016" stopIfTrue="1">
      <formula>LEN(TRIM(E43))=0</formula>
    </cfRule>
    <cfRule type="cellIs" dxfId="13429" priority="1017" stopIfTrue="1" operator="between">
      <formula>80.1</formula>
      <formula>100</formula>
    </cfRule>
    <cfRule type="cellIs" dxfId="13428" priority="1018" stopIfTrue="1" operator="between">
      <formula>35.1</formula>
      <formula>80</formula>
    </cfRule>
    <cfRule type="cellIs" dxfId="13427" priority="1019" stopIfTrue="1" operator="between">
      <formula>14.1</formula>
      <formula>35</formula>
    </cfRule>
    <cfRule type="cellIs" dxfId="13426" priority="1020" stopIfTrue="1" operator="between">
      <formula>5.1</formula>
      <formula>14</formula>
    </cfRule>
    <cfRule type="cellIs" dxfId="13425" priority="1021" stopIfTrue="1" operator="between">
      <formula>0</formula>
      <formula>5</formula>
    </cfRule>
    <cfRule type="containsBlanks" dxfId="13424" priority="1022" stopIfTrue="1">
      <formula>LEN(TRIM(E43))=0</formula>
    </cfRule>
  </conditionalFormatting>
  <conditionalFormatting sqref="E44:I44">
    <cfRule type="containsBlanks" dxfId="13423" priority="1009" stopIfTrue="1">
      <formula>LEN(TRIM(E44))=0</formula>
    </cfRule>
    <cfRule type="cellIs" dxfId="13422" priority="1010" stopIfTrue="1" operator="between">
      <formula>80.1</formula>
      <formula>100</formula>
    </cfRule>
    <cfRule type="cellIs" dxfId="13421" priority="1011" stopIfTrue="1" operator="between">
      <formula>35.1</formula>
      <formula>80</formula>
    </cfRule>
    <cfRule type="cellIs" dxfId="13420" priority="1012" stopIfTrue="1" operator="between">
      <formula>14.1</formula>
      <formula>35</formula>
    </cfRule>
    <cfRule type="cellIs" dxfId="13419" priority="1013" stopIfTrue="1" operator="between">
      <formula>5.1</formula>
      <formula>14</formula>
    </cfRule>
    <cfRule type="cellIs" dxfId="13418" priority="1014" stopIfTrue="1" operator="between">
      <formula>0</formula>
      <formula>5</formula>
    </cfRule>
    <cfRule type="containsBlanks" dxfId="13417" priority="1015" stopIfTrue="1">
      <formula>LEN(TRIM(E44))=0</formula>
    </cfRule>
  </conditionalFormatting>
  <conditionalFormatting sqref="E45:I45">
    <cfRule type="containsBlanks" dxfId="13416" priority="1002" stopIfTrue="1">
      <formula>LEN(TRIM(E45))=0</formula>
    </cfRule>
    <cfRule type="cellIs" dxfId="13415" priority="1003" stopIfTrue="1" operator="between">
      <formula>80.1</formula>
      <formula>100</formula>
    </cfRule>
    <cfRule type="cellIs" dxfId="13414" priority="1004" stopIfTrue="1" operator="between">
      <formula>35.1</formula>
      <formula>80</formula>
    </cfRule>
    <cfRule type="cellIs" dxfId="13413" priority="1005" stopIfTrue="1" operator="between">
      <formula>14.1</formula>
      <formula>35</formula>
    </cfRule>
    <cfRule type="cellIs" dxfId="13412" priority="1006" stopIfTrue="1" operator="between">
      <formula>5.1</formula>
      <formula>14</formula>
    </cfRule>
    <cfRule type="cellIs" dxfId="13411" priority="1007" stopIfTrue="1" operator="between">
      <formula>0</formula>
      <formula>5</formula>
    </cfRule>
    <cfRule type="containsBlanks" dxfId="13410" priority="1008" stopIfTrue="1">
      <formula>LEN(TRIM(E45))=0</formula>
    </cfRule>
  </conditionalFormatting>
  <conditionalFormatting sqref="E46:F46">
    <cfRule type="containsBlanks" dxfId="13409" priority="995" stopIfTrue="1">
      <formula>LEN(TRIM(E46))=0</formula>
    </cfRule>
    <cfRule type="cellIs" dxfId="13408" priority="996" stopIfTrue="1" operator="between">
      <formula>80.1</formula>
      <formula>100</formula>
    </cfRule>
    <cfRule type="cellIs" dxfId="13407" priority="997" stopIfTrue="1" operator="between">
      <formula>35.1</formula>
      <formula>80</formula>
    </cfRule>
    <cfRule type="cellIs" dxfId="13406" priority="998" stopIfTrue="1" operator="between">
      <formula>14.1</formula>
      <formula>35</formula>
    </cfRule>
    <cfRule type="cellIs" dxfId="13405" priority="999" stopIfTrue="1" operator="between">
      <formula>5.1</formula>
      <formula>14</formula>
    </cfRule>
    <cfRule type="cellIs" dxfId="13404" priority="1000" stopIfTrue="1" operator="between">
      <formula>0</formula>
      <formula>5</formula>
    </cfRule>
    <cfRule type="containsBlanks" dxfId="13403" priority="1001" stopIfTrue="1">
      <formula>LEN(TRIM(E46))=0</formula>
    </cfRule>
  </conditionalFormatting>
  <conditionalFormatting sqref="E47:F47">
    <cfRule type="containsBlanks" dxfId="13402" priority="988" stopIfTrue="1">
      <formula>LEN(TRIM(E47))=0</formula>
    </cfRule>
    <cfRule type="cellIs" dxfId="13401" priority="989" stopIfTrue="1" operator="between">
      <formula>80.1</formula>
      <formula>100</formula>
    </cfRule>
    <cfRule type="cellIs" dxfId="13400" priority="990" stopIfTrue="1" operator="between">
      <formula>35.1</formula>
      <formula>80</formula>
    </cfRule>
    <cfRule type="cellIs" dxfId="13399" priority="991" stopIfTrue="1" operator="between">
      <formula>14.1</formula>
      <formula>35</formula>
    </cfRule>
    <cfRule type="cellIs" dxfId="13398" priority="992" stopIfTrue="1" operator="between">
      <formula>5.1</formula>
      <formula>14</formula>
    </cfRule>
    <cfRule type="cellIs" dxfId="13397" priority="993" stopIfTrue="1" operator="between">
      <formula>0</formula>
      <formula>5</formula>
    </cfRule>
    <cfRule type="containsBlanks" dxfId="13396" priority="994" stopIfTrue="1">
      <formula>LEN(TRIM(E47))=0</formula>
    </cfRule>
  </conditionalFormatting>
  <conditionalFormatting sqref="K48:P50">
    <cfRule type="containsBlanks" dxfId="13395" priority="981" stopIfTrue="1">
      <formula>LEN(TRIM(K48))=0</formula>
    </cfRule>
    <cfRule type="cellIs" dxfId="13394" priority="982" stopIfTrue="1" operator="between">
      <formula>80.1</formula>
      <formula>100</formula>
    </cfRule>
    <cfRule type="cellIs" dxfId="13393" priority="983" stopIfTrue="1" operator="between">
      <formula>35.1</formula>
      <formula>80</formula>
    </cfRule>
    <cfRule type="cellIs" dxfId="13392" priority="984" stopIfTrue="1" operator="between">
      <formula>14.1</formula>
      <formula>35</formula>
    </cfRule>
    <cfRule type="cellIs" dxfId="13391" priority="985" stopIfTrue="1" operator="between">
      <formula>5.1</formula>
      <formula>14</formula>
    </cfRule>
    <cfRule type="cellIs" dxfId="13390" priority="986" stopIfTrue="1" operator="between">
      <formula>0</formula>
      <formula>5</formula>
    </cfRule>
    <cfRule type="containsBlanks" dxfId="13389" priority="987" stopIfTrue="1">
      <formula>LEN(TRIM(K48))=0</formula>
    </cfRule>
  </conditionalFormatting>
  <conditionalFormatting sqref="E50:J50 G48:J49">
    <cfRule type="containsBlanks" dxfId="13388" priority="974" stopIfTrue="1">
      <formula>LEN(TRIM(E48))=0</formula>
    </cfRule>
    <cfRule type="cellIs" dxfId="13387" priority="975" stopIfTrue="1" operator="between">
      <formula>80.1</formula>
      <formula>100</formula>
    </cfRule>
    <cfRule type="cellIs" dxfId="13386" priority="976" stopIfTrue="1" operator="between">
      <formula>35.1</formula>
      <formula>80</formula>
    </cfRule>
    <cfRule type="cellIs" dxfId="13385" priority="977" stopIfTrue="1" operator="between">
      <formula>14.1</formula>
      <formula>35</formula>
    </cfRule>
    <cfRule type="cellIs" dxfId="13384" priority="978" stopIfTrue="1" operator="between">
      <formula>5.1</formula>
      <formula>14</formula>
    </cfRule>
    <cfRule type="cellIs" dxfId="13383" priority="979" stopIfTrue="1" operator="between">
      <formula>0</formula>
      <formula>5</formula>
    </cfRule>
    <cfRule type="containsBlanks" dxfId="13382" priority="980" stopIfTrue="1">
      <formula>LEN(TRIM(E48))=0</formula>
    </cfRule>
  </conditionalFormatting>
  <conditionalFormatting sqref="G48:J49">
    <cfRule type="containsBlanks" dxfId="13381" priority="967" stopIfTrue="1">
      <formula>LEN(TRIM(G48))=0</formula>
    </cfRule>
    <cfRule type="cellIs" dxfId="13380" priority="968" stopIfTrue="1" operator="between">
      <formula>80.1</formula>
      <formula>100</formula>
    </cfRule>
    <cfRule type="cellIs" dxfId="13379" priority="969" stopIfTrue="1" operator="between">
      <formula>35.1</formula>
      <formula>80</formula>
    </cfRule>
    <cfRule type="cellIs" dxfId="13378" priority="970" stopIfTrue="1" operator="between">
      <formula>14.1</formula>
      <formula>35</formula>
    </cfRule>
    <cfRule type="cellIs" dxfId="13377" priority="971" stopIfTrue="1" operator="between">
      <formula>5.1</formula>
      <formula>14</formula>
    </cfRule>
    <cfRule type="cellIs" dxfId="13376" priority="972" stopIfTrue="1" operator="between">
      <formula>0</formula>
      <formula>5</formula>
    </cfRule>
    <cfRule type="containsBlanks" dxfId="13375" priority="973" stopIfTrue="1">
      <formula>LEN(TRIM(G48))=0</formula>
    </cfRule>
  </conditionalFormatting>
  <conditionalFormatting sqref="E48:F48">
    <cfRule type="containsBlanks" dxfId="13374" priority="960" stopIfTrue="1">
      <formula>LEN(TRIM(E48))=0</formula>
    </cfRule>
    <cfRule type="cellIs" dxfId="13373" priority="961" stopIfTrue="1" operator="between">
      <formula>80.1</formula>
      <formula>100</formula>
    </cfRule>
    <cfRule type="cellIs" dxfId="13372" priority="962" stopIfTrue="1" operator="between">
      <formula>35.1</formula>
      <formula>80</formula>
    </cfRule>
    <cfRule type="cellIs" dxfId="13371" priority="963" stopIfTrue="1" operator="between">
      <formula>14.1</formula>
      <formula>35</formula>
    </cfRule>
    <cfRule type="cellIs" dxfId="13370" priority="964" stopIfTrue="1" operator="between">
      <formula>5.1</formula>
      <formula>14</formula>
    </cfRule>
    <cfRule type="cellIs" dxfId="13369" priority="965" stopIfTrue="1" operator="between">
      <formula>0</formula>
      <formula>5</formula>
    </cfRule>
    <cfRule type="containsBlanks" dxfId="13368" priority="966" stopIfTrue="1">
      <formula>LEN(TRIM(E48))=0</formula>
    </cfRule>
  </conditionalFormatting>
  <conditionalFormatting sqref="E49:F49">
    <cfRule type="containsBlanks" dxfId="13367" priority="953" stopIfTrue="1">
      <formula>LEN(TRIM(E49))=0</formula>
    </cfRule>
    <cfRule type="cellIs" dxfId="13366" priority="954" stopIfTrue="1" operator="between">
      <formula>80.1</formula>
      <formula>100</formula>
    </cfRule>
    <cfRule type="cellIs" dxfId="13365" priority="955" stopIfTrue="1" operator="between">
      <formula>35.1</formula>
      <formula>80</formula>
    </cfRule>
    <cfRule type="cellIs" dxfId="13364" priority="956" stopIfTrue="1" operator="between">
      <formula>14.1</formula>
      <formula>35</formula>
    </cfRule>
    <cfRule type="cellIs" dxfId="13363" priority="957" stopIfTrue="1" operator="between">
      <formula>5.1</formula>
      <formula>14</formula>
    </cfRule>
    <cfRule type="cellIs" dxfId="13362" priority="958" stopIfTrue="1" operator="between">
      <formula>0</formula>
      <formula>5</formula>
    </cfRule>
    <cfRule type="containsBlanks" dxfId="13361" priority="959" stopIfTrue="1">
      <formula>LEN(TRIM(E49))=0</formula>
    </cfRule>
  </conditionalFormatting>
  <conditionalFormatting sqref="K51:P51">
    <cfRule type="containsBlanks" dxfId="13360" priority="946" stopIfTrue="1">
      <formula>LEN(TRIM(K51))=0</formula>
    </cfRule>
    <cfRule type="cellIs" dxfId="13359" priority="947" stopIfTrue="1" operator="between">
      <formula>80.1</formula>
      <formula>100</formula>
    </cfRule>
    <cfRule type="cellIs" dxfId="13358" priority="948" stopIfTrue="1" operator="between">
      <formula>35.1</formula>
      <formula>80</formula>
    </cfRule>
    <cfRule type="cellIs" dxfId="13357" priority="949" stopIfTrue="1" operator="between">
      <formula>14.1</formula>
      <formula>35</formula>
    </cfRule>
    <cfRule type="cellIs" dxfId="13356" priority="950" stopIfTrue="1" operator="between">
      <formula>5.1</formula>
      <formula>14</formula>
    </cfRule>
    <cfRule type="cellIs" dxfId="13355" priority="951" stopIfTrue="1" operator="between">
      <formula>0</formula>
      <formula>5</formula>
    </cfRule>
    <cfRule type="containsBlanks" dxfId="13354" priority="952" stopIfTrue="1">
      <formula>LEN(TRIM(K51))=0</formula>
    </cfRule>
  </conditionalFormatting>
  <conditionalFormatting sqref="I51:J51">
    <cfRule type="containsBlanks" dxfId="13353" priority="939" stopIfTrue="1">
      <formula>LEN(TRIM(I51))=0</formula>
    </cfRule>
    <cfRule type="cellIs" dxfId="13352" priority="940" stopIfTrue="1" operator="between">
      <formula>80.1</formula>
      <formula>100</formula>
    </cfRule>
    <cfRule type="cellIs" dxfId="13351" priority="941" stopIfTrue="1" operator="between">
      <formula>35.1</formula>
      <formula>80</formula>
    </cfRule>
    <cfRule type="cellIs" dxfId="13350" priority="942" stopIfTrue="1" operator="between">
      <formula>14.1</formula>
      <formula>35</formula>
    </cfRule>
    <cfRule type="cellIs" dxfId="13349" priority="943" stopIfTrue="1" operator="between">
      <formula>5.1</formula>
      <formula>14</formula>
    </cfRule>
    <cfRule type="cellIs" dxfId="13348" priority="944" stopIfTrue="1" operator="between">
      <formula>0</formula>
      <formula>5</formula>
    </cfRule>
    <cfRule type="containsBlanks" dxfId="13347" priority="945" stopIfTrue="1">
      <formula>LEN(TRIM(I51))=0</formula>
    </cfRule>
  </conditionalFormatting>
  <conditionalFormatting sqref="E51:H51">
    <cfRule type="containsBlanks" dxfId="13346" priority="932" stopIfTrue="1">
      <formula>LEN(TRIM(E51))=0</formula>
    </cfRule>
    <cfRule type="cellIs" dxfId="13345" priority="933" stopIfTrue="1" operator="between">
      <formula>80.1</formula>
      <formula>100</formula>
    </cfRule>
    <cfRule type="cellIs" dxfId="13344" priority="934" stopIfTrue="1" operator="between">
      <formula>35.1</formula>
      <formula>80</formula>
    </cfRule>
    <cfRule type="cellIs" dxfId="13343" priority="935" stopIfTrue="1" operator="between">
      <formula>14.1</formula>
      <formula>35</formula>
    </cfRule>
    <cfRule type="cellIs" dxfId="13342" priority="936" stopIfTrue="1" operator="between">
      <formula>5.1</formula>
      <formula>14</formula>
    </cfRule>
    <cfRule type="cellIs" dxfId="13341" priority="937" stopIfTrue="1" operator="between">
      <formula>0</formula>
      <formula>5</formula>
    </cfRule>
    <cfRule type="containsBlanks" dxfId="13340" priority="938" stopIfTrue="1">
      <formula>LEN(TRIM(E51))=0</formula>
    </cfRule>
  </conditionalFormatting>
  <conditionalFormatting sqref="K52:P52">
    <cfRule type="containsBlanks" dxfId="13339" priority="925" stopIfTrue="1">
      <formula>LEN(TRIM(K52))=0</formula>
    </cfRule>
    <cfRule type="cellIs" dxfId="13338" priority="926" stopIfTrue="1" operator="between">
      <formula>80.1</formula>
      <formula>100</formula>
    </cfRule>
    <cfRule type="cellIs" dxfId="13337" priority="927" stopIfTrue="1" operator="between">
      <formula>35.1</formula>
      <formula>80</formula>
    </cfRule>
    <cfRule type="cellIs" dxfId="13336" priority="928" stopIfTrue="1" operator="between">
      <formula>14.1</formula>
      <formula>35</formula>
    </cfRule>
    <cfRule type="cellIs" dxfId="13335" priority="929" stopIfTrue="1" operator="between">
      <formula>5.1</formula>
      <formula>14</formula>
    </cfRule>
    <cfRule type="cellIs" dxfId="13334" priority="930" stopIfTrue="1" operator="between">
      <formula>0</formula>
      <formula>5</formula>
    </cfRule>
    <cfRule type="containsBlanks" dxfId="13333" priority="931" stopIfTrue="1">
      <formula>LEN(TRIM(K52))=0</formula>
    </cfRule>
  </conditionalFormatting>
  <conditionalFormatting sqref="E52:J52">
    <cfRule type="containsBlanks" dxfId="13332" priority="918" stopIfTrue="1">
      <formula>LEN(TRIM(E52))=0</formula>
    </cfRule>
    <cfRule type="cellIs" dxfId="13331" priority="919" stopIfTrue="1" operator="between">
      <formula>80.1</formula>
      <formula>100</formula>
    </cfRule>
    <cfRule type="cellIs" dxfId="13330" priority="920" stopIfTrue="1" operator="between">
      <formula>35.1</formula>
      <formula>80</formula>
    </cfRule>
    <cfRule type="cellIs" dxfId="13329" priority="921" stopIfTrue="1" operator="between">
      <formula>14.1</formula>
      <formula>35</formula>
    </cfRule>
    <cfRule type="cellIs" dxfId="13328" priority="922" stopIfTrue="1" operator="between">
      <formula>5.1</formula>
      <formula>14</formula>
    </cfRule>
    <cfRule type="cellIs" dxfId="13327" priority="923" stopIfTrue="1" operator="between">
      <formula>0</formula>
      <formula>5</formula>
    </cfRule>
    <cfRule type="containsBlanks" dxfId="13326" priority="924" stopIfTrue="1">
      <formula>LEN(TRIM(E52))=0</formula>
    </cfRule>
  </conditionalFormatting>
  <conditionalFormatting sqref="K53:P58">
    <cfRule type="containsBlanks" dxfId="13325" priority="911" stopIfTrue="1">
      <formula>LEN(TRIM(K53))=0</formula>
    </cfRule>
    <cfRule type="cellIs" dxfId="13324" priority="912" stopIfTrue="1" operator="between">
      <formula>80.1</formula>
      <formula>100</formula>
    </cfRule>
    <cfRule type="cellIs" dxfId="13323" priority="913" stopIfTrue="1" operator="between">
      <formula>35.1</formula>
      <formula>80</formula>
    </cfRule>
    <cfRule type="cellIs" dxfId="13322" priority="914" stopIfTrue="1" operator="between">
      <formula>14.1</formula>
      <formula>35</formula>
    </cfRule>
    <cfRule type="cellIs" dxfId="13321" priority="915" stopIfTrue="1" operator="between">
      <formula>5.1</formula>
      <formula>14</formula>
    </cfRule>
    <cfRule type="cellIs" dxfId="13320" priority="916" stopIfTrue="1" operator="between">
      <formula>0</formula>
      <formula>5</formula>
    </cfRule>
    <cfRule type="containsBlanks" dxfId="13319" priority="917" stopIfTrue="1">
      <formula>LEN(TRIM(K53))=0</formula>
    </cfRule>
  </conditionalFormatting>
  <conditionalFormatting sqref="E56:J56 H53:J53 J54 I55:J55 J57 G58:J58">
    <cfRule type="containsBlanks" dxfId="13318" priority="904" stopIfTrue="1">
      <formula>LEN(TRIM(E53))=0</formula>
    </cfRule>
    <cfRule type="cellIs" dxfId="13317" priority="905" stopIfTrue="1" operator="between">
      <formula>80.1</formula>
      <formula>100</formula>
    </cfRule>
    <cfRule type="cellIs" dxfId="13316" priority="906" stopIfTrue="1" operator="between">
      <formula>35.1</formula>
      <formula>80</formula>
    </cfRule>
    <cfRule type="cellIs" dxfId="13315" priority="907" stopIfTrue="1" operator="between">
      <formula>14.1</formula>
      <formula>35</formula>
    </cfRule>
    <cfRule type="cellIs" dxfId="13314" priority="908" stopIfTrue="1" operator="between">
      <formula>5.1</formula>
      <formula>14</formula>
    </cfRule>
    <cfRule type="cellIs" dxfId="13313" priority="909" stopIfTrue="1" operator="between">
      <formula>0</formula>
      <formula>5</formula>
    </cfRule>
    <cfRule type="containsBlanks" dxfId="13312" priority="910" stopIfTrue="1">
      <formula>LEN(TRIM(E53))=0</formula>
    </cfRule>
  </conditionalFormatting>
  <conditionalFormatting sqref="G58:J58">
    <cfRule type="containsBlanks" dxfId="13311" priority="897" stopIfTrue="1">
      <formula>LEN(TRIM(G58))=0</formula>
    </cfRule>
    <cfRule type="cellIs" dxfId="13310" priority="898" stopIfTrue="1" operator="between">
      <formula>79.1</formula>
      <formula>100</formula>
    </cfRule>
    <cfRule type="cellIs" dxfId="13309" priority="899" stopIfTrue="1" operator="between">
      <formula>34.1</formula>
      <formula>79</formula>
    </cfRule>
    <cfRule type="cellIs" dxfId="13308" priority="900" stopIfTrue="1" operator="between">
      <formula>13.1</formula>
      <formula>34</formula>
    </cfRule>
    <cfRule type="cellIs" dxfId="13307" priority="901" stopIfTrue="1" operator="between">
      <formula>5.1</formula>
      <formula>13</formula>
    </cfRule>
    <cfRule type="cellIs" dxfId="13306" priority="902" stopIfTrue="1" operator="between">
      <formula>0</formula>
      <formula>5</formula>
    </cfRule>
    <cfRule type="containsBlanks" dxfId="13305" priority="903" stopIfTrue="1">
      <formula>LEN(TRIM(G58))=0</formula>
    </cfRule>
  </conditionalFormatting>
  <conditionalFormatting sqref="E53:G53">
    <cfRule type="containsBlanks" dxfId="13304" priority="890" stopIfTrue="1">
      <formula>LEN(TRIM(E53))=0</formula>
    </cfRule>
    <cfRule type="cellIs" dxfId="13303" priority="891" stopIfTrue="1" operator="between">
      <formula>80.1</formula>
      <formula>100</formula>
    </cfRule>
    <cfRule type="cellIs" dxfId="13302" priority="892" stopIfTrue="1" operator="between">
      <formula>35.1</formula>
      <formula>80</formula>
    </cfRule>
    <cfRule type="cellIs" dxfId="13301" priority="893" stopIfTrue="1" operator="between">
      <formula>14.1</formula>
      <formula>35</formula>
    </cfRule>
    <cfRule type="cellIs" dxfId="13300" priority="894" stopIfTrue="1" operator="between">
      <formula>5.1</formula>
      <formula>14</formula>
    </cfRule>
    <cfRule type="cellIs" dxfId="13299" priority="895" stopIfTrue="1" operator="between">
      <formula>0</formula>
      <formula>5</formula>
    </cfRule>
    <cfRule type="containsBlanks" dxfId="13298" priority="896" stopIfTrue="1">
      <formula>LEN(TRIM(E53))=0</formula>
    </cfRule>
  </conditionalFormatting>
  <conditionalFormatting sqref="E54:I54">
    <cfRule type="containsBlanks" dxfId="13297" priority="883" stopIfTrue="1">
      <formula>LEN(TRIM(E54))=0</formula>
    </cfRule>
    <cfRule type="cellIs" dxfId="13296" priority="884" stopIfTrue="1" operator="between">
      <formula>80.1</formula>
      <formula>100</formula>
    </cfRule>
    <cfRule type="cellIs" dxfId="13295" priority="885" stopIfTrue="1" operator="between">
      <formula>35.1</formula>
      <formula>80</formula>
    </cfRule>
    <cfRule type="cellIs" dxfId="13294" priority="886" stopIfTrue="1" operator="between">
      <formula>14.1</formula>
      <formula>35</formula>
    </cfRule>
    <cfRule type="cellIs" dxfId="13293" priority="887" stopIfTrue="1" operator="between">
      <formula>5.1</formula>
      <formula>14</formula>
    </cfRule>
    <cfRule type="cellIs" dxfId="13292" priority="888" stopIfTrue="1" operator="between">
      <formula>0</formula>
      <formula>5</formula>
    </cfRule>
    <cfRule type="containsBlanks" dxfId="13291" priority="889" stopIfTrue="1">
      <formula>LEN(TRIM(E54))=0</formula>
    </cfRule>
  </conditionalFormatting>
  <conditionalFormatting sqref="E55:H55">
    <cfRule type="containsBlanks" dxfId="13290" priority="876" stopIfTrue="1">
      <formula>LEN(TRIM(E55))=0</formula>
    </cfRule>
    <cfRule type="cellIs" dxfId="13289" priority="877" stopIfTrue="1" operator="between">
      <formula>80.1</formula>
      <formula>100</formula>
    </cfRule>
    <cfRule type="cellIs" dxfId="13288" priority="878" stopIfTrue="1" operator="between">
      <formula>35.1</formula>
      <formula>80</formula>
    </cfRule>
    <cfRule type="cellIs" dxfId="13287" priority="879" stopIfTrue="1" operator="between">
      <formula>14.1</formula>
      <formula>35</formula>
    </cfRule>
    <cfRule type="cellIs" dxfId="13286" priority="880" stopIfTrue="1" operator="between">
      <formula>5.1</formula>
      <formula>14</formula>
    </cfRule>
    <cfRule type="cellIs" dxfId="13285" priority="881" stopIfTrue="1" operator="between">
      <formula>0</formula>
      <formula>5</formula>
    </cfRule>
    <cfRule type="containsBlanks" dxfId="13284" priority="882" stopIfTrue="1">
      <formula>LEN(TRIM(E55))=0</formula>
    </cfRule>
  </conditionalFormatting>
  <conditionalFormatting sqref="E57:I57">
    <cfRule type="containsBlanks" dxfId="13283" priority="869" stopIfTrue="1">
      <formula>LEN(TRIM(E57))=0</formula>
    </cfRule>
    <cfRule type="cellIs" dxfId="13282" priority="870" stopIfTrue="1" operator="between">
      <formula>80.1</formula>
      <formula>100</formula>
    </cfRule>
    <cfRule type="cellIs" dxfId="13281" priority="871" stopIfTrue="1" operator="between">
      <formula>35.1</formula>
      <formula>80</formula>
    </cfRule>
    <cfRule type="cellIs" dxfId="13280" priority="872" stopIfTrue="1" operator="between">
      <formula>14.1</formula>
      <formula>35</formula>
    </cfRule>
    <cfRule type="cellIs" dxfId="13279" priority="873" stopIfTrue="1" operator="between">
      <formula>5.1</formula>
      <formula>14</formula>
    </cfRule>
    <cfRule type="cellIs" dxfId="13278" priority="874" stopIfTrue="1" operator="between">
      <formula>0</formula>
      <formula>5</formula>
    </cfRule>
    <cfRule type="containsBlanks" dxfId="13277" priority="875" stopIfTrue="1">
      <formula>LEN(TRIM(E57))=0</formula>
    </cfRule>
  </conditionalFormatting>
  <conditionalFormatting sqref="E58:F58">
    <cfRule type="containsBlanks" dxfId="13276" priority="862" stopIfTrue="1">
      <formula>LEN(TRIM(E58))=0</formula>
    </cfRule>
    <cfRule type="cellIs" dxfId="13275" priority="863" stopIfTrue="1" operator="between">
      <formula>80.1</formula>
      <formula>100</formula>
    </cfRule>
    <cfRule type="cellIs" dxfId="13274" priority="864" stopIfTrue="1" operator="between">
      <formula>35.1</formula>
      <formula>80</formula>
    </cfRule>
    <cfRule type="cellIs" dxfId="13273" priority="865" stopIfTrue="1" operator="between">
      <formula>14.1</formula>
      <formula>35</formula>
    </cfRule>
    <cfRule type="cellIs" dxfId="13272" priority="866" stopIfTrue="1" operator="between">
      <formula>5.1</formula>
      <formula>14</formula>
    </cfRule>
    <cfRule type="cellIs" dxfId="13271" priority="867" stopIfTrue="1" operator="between">
      <formula>0</formula>
      <formula>5</formula>
    </cfRule>
    <cfRule type="containsBlanks" dxfId="13270" priority="868" stopIfTrue="1">
      <formula>LEN(TRIM(E58))=0</formula>
    </cfRule>
  </conditionalFormatting>
  <conditionalFormatting sqref="K59:P60">
    <cfRule type="containsBlanks" dxfId="13269" priority="855" stopIfTrue="1">
      <formula>LEN(TRIM(K59))=0</formula>
    </cfRule>
    <cfRule type="cellIs" dxfId="13268" priority="856" stopIfTrue="1" operator="between">
      <formula>80.1</formula>
      <formula>100</formula>
    </cfRule>
    <cfRule type="cellIs" dxfId="13267" priority="857" stopIfTrue="1" operator="between">
      <formula>35.1</formula>
      <formula>80</formula>
    </cfRule>
    <cfRule type="cellIs" dxfId="13266" priority="858" stopIfTrue="1" operator="between">
      <formula>14.1</formula>
      <formula>35</formula>
    </cfRule>
    <cfRule type="cellIs" dxfId="13265" priority="859" stopIfTrue="1" operator="between">
      <formula>5.1</formula>
      <formula>14</formula>
    </cfRule>
    <cfRule type="cellIs" dxfId="13264" priority="860" stopIfTrue="1" operator="between">
      <formula>0</formula>
      <formula>5</formula>
    </cfRule>
    <cfRule type="containsBlanks" dxfId="13263" priority="861" stopIfTrue="1">
      <formula>LEN(TRIM(K59))=0</formula>
    </cfRule>
  </conditionalFormatting>
  <conditionalFormatting sqref="I59:J60">
    <cfRule type="containsBlanks" dxfId="13262" priority="848" stopIfTrue="1">
      <formula>LEN(TRIM(I59))=0</formula>
    </cfRule>
    <cfRule type="cellIs" dxfId="13261" priority="849" stopIfTrue="1" operator="between">
      <formula>80.1</formula>
      <formula>100</formula>
    </cfRule>
    <cfRule type="cellIs" dxfId="13260" priority="850" stopIfTrue="1" operator="between">
      <formula>35.1</formula>
      <formula>80</formula>
    </cfRule>
    <cfRule type="cellIs" dxfId="13259" priority="851" stopIfTrue="1" operator="between">
      <formula>14.1</formula>
      <formula>35</formula>
    </cfRule>
    <cfRule type="cellIs" dxfId="13258" priority="852" stopIfTrue="1" operator="between">
      <formula>5.1</formula>
      <formula>14</formula>
    </cfRule>
    <cfRule type="cellIs" dxfId="13257" priority="853" stopIfTrue="1" operator="between">
      <formula>0</formula>
      <formula>5</formula>
    </cfRule>
    <cfRule type="containsBlanks" dxfId="13256" priority="854" stopIfTrue="1">
      <formula>LEN(TRIM(I59))=0</formula>
    </cfRule>
  </conditionalFormatting>
  <conditionalFormatting sqref="I60:J60">
    <cfRule type="containsBlanks" dxfId="13255" priority="841" stopIfTrue="1">
      <formula>LEN(TRIM(I60))=0</formula>
    </cfRule>
    <cfRule type="cellIs" dxfId="13254" priority="842" stopIfTrue="1" operator="between">
      <formula>79.1</formula>
      <formula>100</formula>
    </cfRule>
    <cfRule type="cellIs" dxfId="13253" priority="843" stopIfTrue="1" operator="between">
      <formula>34.1</formula>
      <formula>79</formula>
    </cfRule>
    <cfRule type="cellIs" dxfId="13252" priority="844" stopIfTrue="1" operator="between">
      <formula>13.1</formula>
      <formula>34</formula>
    </cfRule>
    <cfRule type="cellIs" dxfId="13251" priority="845" stopIfTrue="1" operator="between">
      <formula>5.1</formula>
      <formula>13</formula>
    </cfRule>
    <cfRule type="cellIs" dxfId="13250" priority="846" stopIfTrue="1" operator="between">
      <formula>0</formula>
      <formula>5</formula>
    </cfRule>
    <cfRule type="containsBlanks" dxfId="13249" priority="847" stopIfTrue="1">
      <formula>LEN(TRIM(I60))=0</formula>
    </cfRule>
  </conditionalFormatting>
  <conditionalFormatting sqref="I59:J59">
    <cfRule type="containsBlanks" dxfId="13248" priority="834" stopIfTrue="1">
      <formula>LEN(TRIM(I59))=0</formula>
    </cfRule>
    <cfRule type="cellIs" dxfId="13247" priority="835" stopIfTrue="1" operator="between">
      <formula>79.1</formula>
      <formula>100</formula>
    </cfRule>
    <cfRule type="cellIs" dxfId="13246" priority="836" stopIfTrue="1" operator="between">
      <formula>34.1</formula>
      <formula>79</formula>
    </cfRule>
    <cfRule type="cellIs" dxfId="13245" priority="837" stopIfTrue="1" operator="between">
      <formula>13.1</formula>
      <formula>34</formula>
    </cfRule>
    <cfRule type="cellIs" dxfId="13244" priority="838" stopIfTrue="1" operator="between">
      <formula>5.1</formula>
      <formula>13</formula>
    </cfRule>
    <cfRule type="cellIs" dxfId="13243" priority="839" stopIfTrue="1" operator="between">
      <formula>0</formula>
      <formula>5</formula>
    </cfRule>
    <cfRule type="containsBlanks" dxfId="13242" priority="840" stopIfTrue="1">
      <formula>LEN(TRIM(I59))=0</formula>
    </cfRule>
  </conditionalFormatting>
  <conditionalFormatting sqref="E59:H59">
    <cfRule type="containsBlanks" dxfId="13241" priority="827" stopIfTrue="1">
      <formula>LEN(TRIM(E59))=0</formula>
    </cfRule>
    <cfRule type="cellIs" dxfId="13240" priority="828" stopIfTrue="1" operator="between">
      <formula>80.1</formula>
      <formula>100</formula>
    </cfRule>
    <cfRule type="cellIs" dxfId="13239" priority="829" stopIfTrue="1" operator="between">
      <formula>35.1</formula>
      <formula>80</formula>
    </cfRule>
    <cfRule type="cellIs" dxfId="13238" priority="830" stopIfTrue="1" operator="between">
      <formula>14.1</formula>
      <formula>35</formula>
    </cfRule>
    <cfRule type="cellIs" dxfId="13237" priority="831" stopIfTrue="1" operator="between">
      <formula>5.1</formula>
      <formula>14</formula>
    </cfRule>
    <cfRule type="cellIs" dxfId="13236" priority="832" stopIfTrue="1" operator="between">
      <formula>0</formula>
      <formula>5</formula>
    </cfRule>
    <cfRule type="containsBlanks" dxfId="13235" priority="833" stopIfTrue="1">
      <formula>LEN(TRIM(E59))=0</formula>
    </cfRule>
  </conditionalFormatting>
  <conditionalFormatting sqref="E60:H60">
    <cfRule type="containsBlanks" dxfId="13234" priority="820" stopIfTrue="1">
      <formula>LEN(TRIM(E60))=0</formula>
    </cfRule>
    <cfRule type="cellIs" dxfId="13233" priority="821" stopIfTrue="1" operator="between">
      <formula>80.1</formula>
      <formula>100</formula>
    </cfRule>
    <cfRule type="cellIs" dxfId="13232" priority="822" stopIfTrue="1" operator="between">
      <formula>35.1</formula>
      <formula>80</formula>
    </cfRule>
    <cfRule type="cellIs" dxfId="13231" priority="823" stopIfTrue="1" operator="between">
      <formula>14.1</formula>
      <formula>35</formula>
    </cfRule>
    <cfRule type="cellIs" dxfId="13230" priority="824" stopIfTrue="1" operator="between">
      <formula>5.1</formula>
      <formula>14</formula>
    </cfRule>
    <cfRule type="cellIs" dxfId="13229" priority="825" stopIfTrue="1" operator="between">
      <formula>0</formula>
      <formula>5</formula>
    </cfRule>
    <cfRule type="containsBlanks" dxfId="13228" priority="826" stopIfTrue="1">
      <formula>LEN(TRIM(E60))=0</formula>
    </cfRule>
  </conditionalFormatting>
  <conditionalFormatting sqref="K62:P67">
    <cfRule type="containsBlanks" dxfId="13227" priority="813" stopIfTrue="1">
      <formula>LEN(TRIM(K62))=0</formula>
    </cfRule>
    <cfRule type="cellIs" dxfId="13226" priority="814" stopIfTrue="1" operator="between">
      <formula>80.1</formula>
      <formula>100</formula>
    </cfRule>
    <cfRule type="cellIs" dxfId="13225" priority="815" stopIfTrue="1" operator="between">
      <formula>35.1</formula>
      <formula>80</formula>
    </cfRule>
    <cfRule type="cellIs" dxfId="13224" priority="816" stopIfTrue="1" operator="between">
      <formula>14.1</formula>
      <formula>35</formula>
    </cfRule>
    <cfRule type="cellIs" dxfId="13223" priority="817" stopIfTrue="1" operator="between">
      <formula>5.1</formula>
      <formula>14</formula>
    </cfRule>
    <cfRule type="cellIs" dxfId="13222" priority="818" stopIfTrue="1" operator="between">
      <formula>0</formula>
      <formula>5</formula>
    </cfRule>
    <cfRule type="containsBlanks" dxfId="13221" priority="819" stopIfTrue="1">
      <formula>LEN(TRIM(K62))=0</formula>
    </cfRule>
  </conditionalFormatting>
  <conditionalFormatting sqref="I65:J65 E62:J62 H63:J64 H66:J67">
    <cfRule type="containsBlanks" dxfId="13220" priority="806" stopIfTrue="1">
      <formula>LEN(TRIM(E62))=0</formula>
    </cfRule>
    <cfRule type="cellIs" dxfId="13219" priority="807" stopIfTrue="1" operator="between">
      <formula>80.1</formula>
      <formula>100</formula>
    </cfRule>
    <cfRule type="cellIs" dxfId="13218" priority="808" stopIfTrue="1" operator="between">
      <formula>35.1</formula>
      <formula>80</formula>
    </cfRule>
    <cfRule type="cellIs" dxfId="13217" priority="809" stopIfTrue="1" operator="between">
      <formula>14.1</formula>
      <formula>35</formula>
    </cfRule>
    <cfRule type="cellIs" dxfId="13216" priority="810" stopIfTrue="1" operator="between">
      <formula>5.1</formula>
      <formula>14</formula>
    </cfRule>
    <cfRule type="cellIs" dxfId="13215" priority="811" stopIfTrue="1" operator="between">
      <formula>0</formula>
      <formula>5</formula>
    </cfRule>
    <cfRule type="containsBlanks" dxfId="13214" priority="812" stopIfTrue="1">
      <formula>LEN(TRIM(E62))=0</formula>
    </cfRule>
  </conditionalFormatting>
  <conditionalFormatting sqref="E62:J62 I65:J65 H63:J64 H66:J67">
    <cfRule type="containsBlanks" dxfId="13213" priority="799" stopIfTrue="1">
      <formula>LEN(TRIM(E62))=0</formula>
    </cfRule>
    <cfRule type="cellIs" dxfId="13212" priority="800" stopIfTrue="1" operator="between">
      <formula>79.1</formula>
      <formula>100</formula>
    </cfRule>
    <cfRule type="cellIs" dxfId="13211" priority="801" stopIfTrue="1" operator="between">
      <formula>34.1</formula>
      <formula>79</formula>
    </cfRule>
    <cfRule type="cellIs" dxfId="13210" priority="802" stopIfTrue="1" operator="between">
      <formula>13.1</formula>
      <formula>34</formula>
    </cfRule>
    <cfRule type="cellIs" dxfId="13209" priority="803" stopIfTrue="1" operator="between">
      <formula>5.1</formula>
      <formula>13</formula>
    </cfRule>
    <cfRule type="cellIs" dxfId="13208" priority="804" stopIfTrue="1" operator="between">
      <formula>0</formula>
      <formula>5</formula>
    </cfRule>
    <cfRule type="containsBlanks" dxfId="13207" priority="805" stopIfTrue="1">
      <formula>LEN(TRIM(E62))=0</formula>
    </cfRule>
  </conditionalFormatting>
  <conditionalFormatting sqref="E65:H65">
    <cfRule type="containsBlanks" dxfId="13206" priority="792" stopIfTrue="1">
      <formula>LEN(TRIM(E65))=0</formula>
    </cfRule>
    <cfRule type="cellIs" dxfId="13205" priority="793" stopIfTrue="1" operator="between">
      <formula>80.1</formula>
      <formula>100</formula>
    </cfRule>
    <cfRule type="cellIs" dxfId="13204" priority="794" stopIfTrue="1" operator="between">
      <formula>35.1</formula>
      <formula>80</formula>
    </cfRule>
    <cfRule type="cellIs" dxfId="13203" priority="795" stopIfTrue="1" operator="between">
      <formula>14.1</formula>
      <formula>35</formula>
    </cfRule>
    <cfRule type="cellIs" dxfId="13202" priority="796" stopIfTrue="1" operator="between">
      <formula>5.1</formula>
      <formula>14</formula>
    </cfRule>
    <cfRule type="cellIs" dxfId="13201" priority="797" stopIfTrue="1" operator="between">
      <formula>0</formula>
      <formula>5</formula>
    </cfRule>
    <cfRule type="containsBlanks" dxfId="13200" priority="798" stopIfTrue="1">
      <formula>LEN(TRIM(E65))=0</formula>
    </cfRule>
  </conditionalFormatting>
  <conditionalFormatting sqref="E63:G63">
    <cfRule type="containsBlanks" dxfId="13199" priority="785" stopIfTrue="1">
      <formula>LEN(TRIM(E63))=0</formula>
    </cfRule>
    <cfRule type="cellIs" dxfId="13198" priority="786" stopIfTrue="1" operator="between">
      <formula>80.1</formula>
      <formula>100</formula>
    </cfRule>
    <cfRule type="cellIs" dxfId="13197" priority="787" stopIfTrue="1" operator="between">
      <formula>35.1</formula>
      <formula>80</formula>
    </cfRule>
    <cfRule type="cellIs" dxfId="13196" priority="788" stopIfTrue="1" operator="between">
      <formula>14.1</formula>
      <formula>35</formula>
    </cfRule>
    <cfRule type="cellIs" dxfId="13195" priority="789" stopIfTrue="1" operator="between">
      <formula>5.1</formula>
      <formula>14</formula>
    </cfRule>
    <cfRule type="cellIs" dxfId="13194" priority="790" stopIfTrue="1" operator="between">
      <formula>0</formula>
      <formula>5</formula>
    </cfRule>
    <cfRule type="containsBlanks" dxfId="13193" priority="791" stopIfTrue="1">
      <formula>LEN(TRIM(E63))=0</formula>
    </cfRule>
  </conditionalFormatting>
  <conditionalFormatting sqref="E64:G64">
    <cfRule type="containsBlanks" dxfId="13192" priority="778" stopIfTrue="1">
      <formula>LEN(TRIM(E64))=0</formula>
    </cfRule>
    <cfRule type="cellIs" dxfId="13191" priority="779" stopIfTrue="1" operator="between">
      <formula>80.1</formula>
      <formula>100</formula>
    </cfRule>
    <cfRule type="cellIs" dxfId="13190" priority="780" stopIfTrue="1" operator="between">
      <formula>35.1</formula>
      <formula>80</formula>
    </cfRule>
    <cfRule type="cellIs" dxfId="13189" priority="781" stopIfTrue="1" operator="between">
      <formula>14.1</formula>
      <formula>35</formula>
    </cfRule>
    <cfRule type="cellIs" dxfId="13188" priority="782" stopIfTrue="1" operator="between">
      <formula>5.1</formula>
      <formula>14</formula>
    </cfRule>
    <cfRule type="cellIs" dxfId="13187" priority="783" stopIfTrue="1" operator="between">
      <formula>0</formula>
      <formula>5</formula>
    </cfRule>
    <cfRule type="containsBlanks" dxfId="13186" priority="784" stopIfTrue="1">
      <formula>LEN(TRIM(E64))=0</formula>
    </cfRule>
  </conditionalFormatting>
  <conditionalFormatting sqref="E66:G67">
    <cfRule type="containsBlanks" dxfId="13185" priority="771" stopIfTrue="1">
      <formula>LEN(TRIM(E66))=0</formula>
    </cfRule>
    <cfRule type="cellIs" dxfId="13184" priority="772" stopIfTrue="1" operator="between">
      <formula>80.1</formula>
      <formula>100</formula>
    </cfRule>
    <cfRule type="cellIs" dxfId="13183" priority="773" stopIfTrue="1" operator="between">
      <formula>35.1</formula>
      <formula>80</formula>
    </cfRule>
    <cfRule type="cellIs" dxfId="13182" priority="774" stopIfTrue="1" operator="between">
      <formula>14.1</formula>
      <formula>35</formula>
    </cfRule>
    <cfRule type="cellIs" dxfId="13181" priority="775" stopIfTrue="1" operator="between">
      <formula>5.1</formula>
      <formula>14</formula>
    </cfRule>
    <cfRule type="cellIs" dxfId="13180" priority="776" stopIfTrue="1" operator="between">
      <formula>0</formula>
      <formula>5</formula>
    </cfRule>
    <cfRule type="containsBlanks" dxfId="13179" priority="777" stopIfTrue="1">
      <formula>LEN(TRIM(E66))=0</formula>
    </cfRule>
  </conditionalFormatting>
  <conditionalFormatting sqref="I69:P69">
    <cfRule type="containsBlanks" dxfId="13178" priority="757" stopIfTrue="1">
      <formula>LEN(TRIM(I69))=0</formula>
    </cfRule>
    <cfRule type="cellIs" dxfId="13177" priority="758" stopIfTrue="1" operator="between">
      <formula>80.1</formula>
      <formula>100</formula>
    </cfRule>
    <cfRule type="cellIs" dxfId="13176" priority="759" stopIfTrue="1" operator="between">
      <formula>35.1</formula>
      <formula>80</formula>
    </cfRule>
    <cfRule type="cellIs" dxfId="13175" priority="760" stopIfTrue="1" operator="between">
      <formula>14.1</formula>
      <formula>35</formula>
    </cfRule>
    <cfRule type="cellIs" dxfId="13174" priority="761" stopIfTrue="1" operator="between">
      <formula>5.1</formula>
      <formula>14</formula>
    </cfRule>
    <cfRule type="cellIs" dxfId="13173" priority="762" stopIfTrue="1" operator="between">
      <formula>0</formula>
      <formula>5</formula>
    </cfRule>
    <cfRule type="containsBlanks" dxfId="13172" priority="763" stopIfTrue="1">
      <formula>LEN(TRIM(I69))=0</formula>
    </cfRule>
  </conditionalFormatting>
  <conditionalFormatting sqref="I69:J69">
    <cfRule type="containsBlanks" dxfId="13171" priority="764" stopIfTrue="1">
      <formula>LEN(TRIM(I69))=0</formula>
    </cfRule>
  </conditionalFormatting>
  <conditionalFormatting sqref="H70:P70 E71:P72">
    <cfRule type="containsBlanks" dxfId="13170" priority="743" stopIfTrue="1">
      <formula>LEN(TRIM(E70))=0</formula>
    </cfRule>
    <cfRule type="cellIs" dxfId="13169" priority="744" stopIfTrue="1" operator="between">
      <formula>80.1</formula>
      <formula>100</formula>
    </cfRule>
    <cfRule type="cellIs" dxfId="13168" priority="745" stopIfTrue="1" operator="between">
      <formula>35.1</formula>
      <formula>80</formula>
    </cfRule>
    <cfRule type="cellIs" dxfId="13167" priority="746" stopIfTrue="1" operator="between">
      <formula>14.1</formula>
      <formula>35</formula>
    </cfRule>
    <cfRule type="cellIs" dxfId="13166" priority="747" stopIfTrue="1" operator="between">
      <formula>5.1</formula>
      <formula>14</formula>
    </cfRule>
    <cfRule type="cellIs" dxfId="13165" priority="748" stopIfTrue="1" operator="between">
      <formula>0</formula>
      <formula>5</formula>
    </cfRule>
    <cfRule type="containsBlanks" dxfId="13164" priority="749" stopIfTrue="1">
      <formula>LEN(TRIM(E70))=0</formula>
    </cfRule>
  </conditionalFormatting>
  <conditionalFormatting sqref="E70:G70">
    <cfRule type="containsBlanks" dxfId="13163" priority="736" stopIfTrue="1">
      <formula>LEN(TRIM(E70))=0</formula>
    </cfRule>
    <cfRule type="cellIs" dxfId="13162" priority="737" stopIfTrue="1" operator="between">
      <formula>80.1</formula>
      <formula>100</formula>
    </cfRule>
    <cfRule type="cellIs" dxfId="13161" priority="738" stopIfTrue="1" operator="between">
      <formula>35.1</formula>
      <formula>80</formula>
    </cfRule>
    <cfRule type="cellIs" dxfId="13160" priority="739" stopIfTrue="1" operator="between">
      <formula>14.1</formula>
      <formula>35</formula>
    </cfRule>
    <cfRule type="cellIs" dxfId="13159" priority="740" stopIfTrue="1" operator="between">
      <formula>5.1</formula>
      <formula>14</formula>
    </cfRule>
    <cfRule type="cellIs" dxfId="13158" priority="741" stopIfTrue="1" operator="between">
      <formula>0</formula>
      <formula>5</formula>
    </cfRule>
    <cfRule type="containsBlanks" dxfId="13157" priority="742" stopIfTrue="1">
      <formula>LEN(TRIM(E70))=0</formula>
    </cfRule>
  </conditionalFormatting>
  <conditionalFormatting sqref="E73:P73">
    <cfRule type="containsBlanks" dxfId="13156" priority="729" stopIfTrue="1">
      <formula>LEN(TRIM(E73))=0</formula>
    </cfRule>
    <cfRule type="cellIs" dxfId="13155" priority="730" stopIfTrue="1" operator="between">
      <formula>80.1</formula>
      <formula>100</formula>
    </cfRule>
    <cfRule type="cellIs" dxfId="13154" priority="731" stopIfTrue="1" operator="between">
      <formula>35.1</formula>
      <formula>80</formula>
    </cfRule>
    <cfRule type="cellIs" dxfId="13153" priority="732" stopIfTrue="1" operator="between">
      <formula>14.1</formula>
      <formula>35</formula>
    </cfRule>
    <cfRule type="cellIs" dxfId="13152" priority="733" stopIfTrue="1" operator="between">
      <formula>5.1</formula>
      <formula>14</formula>
    </cfRule>
    <cfRule type="cellIs" dxfId="13151" priority="734" stopIfTrue="1" operator="between">
      <formula>0</formula>
      <formula>5</formula>
    </cfRule>
    <cfRule type="containsBlanks" dxfId="13150" priority="735" stopIfTrue="1">
      <formula>LEN(TRIM(E73))=0</formula>
    </cfRule>
  </conditionalFormatting>
  <conditionalFormatting sqref="N85:P85 L84:P84">
    <cfRule type="containsBlanks" dxfId="13149" priority="722" stopIfTrue="1">
      <formula>LEN(TRIM(L84))=0</formula>
    </cfRule>
    <cfRule type="cellIs" dxfId="13148" priority="723" stopIfTrue="1" operator="between">
      <formula>80.1</formula>
      <formula>100</formula>
    </cfRule>
    <cfRule type="cellIs" dxfId="13147" priority="724" stopIfTrue="1" operator="between">
      <formula>35.1</formula>
      <formula>80</formula>
    </cfRule>
    <cfRule type="cellIs" dxfId="13146" priority="725" stopIfTrue="1" operator="between">
      <formula>14.1</formula>
      <formula>35</formula>
    </cfRule>
    <cfRule type="cellIs" dxfId="13145" priority="726" stopIfTrue="1" operator="between">
      <formula>5.1</formula>
      <formula>14</formula>
    </cfRule>
    <cfRule type="cellIs" dxfId="13144" priority="727" stopIfTrue="1" operator="between">
      <formula>0</formula>
      <formula>5</formula>
    </cfRule>
    <cfRule type="containsBlanks" dxfId="13143" priority="728" stopIfTrue="1">
      <formula>LEN(TRIM(L84))=0</formula>
    </cfRule>
  </conditionalFormatting>
  <conditionalFormatting sqref="E84:K84">
    <cfRule type="containsBlanks" dxfId="13142" priority="715" stopIfTrue="1">
      <formula>LEN(TRIM(E84))=0</formula>
    </cfRule>
    <cfRule type="cellIs" dxfId="13141" priority="716" stopIfTrue="1" operator="between">
      <formula>80.1</formula>
      <formula>100</formula>
    </cfRule>
    <cfRule type="cellIs" dxfId="13140" priority="717" stopIfTrue="1" operator="between">
      <formula>35.1</formula>
      <formula>80</formula>
    </cfRule>
    <cfRule type="cellIs" dxfId="13139" priority="718" stopIfTrue="1" operator="between">
      <formula>14.1</formula>
      <formula>35</formula>
    </cfRule>
    <cfRule type="cellIs" dxfId="13138" priority="719" stopIfTrue="1" operator="between">
      <formula>5.1</formula>
      <formula>14</formula>
    </cfRule>
    <cfRule type="cellIs" dxfId="13137" priority="720" stopIfTrue="1" operator="between">
      <formula>0</formula>
      <formula>5</formula>
    </cfRule>
    <cfRule type="containsBlanks" dxfId="13136" priority="721" stopIfTrue="1">
      <formula>LEN(TRIM(E84))=0</formula>
    </cfRule>
  </conditionalFormatting>
  <conditionalFormatting sqref="E85:M85">
    <cfRule type="containsBlanks" dxfId="13135" priority="708" stopIfTrue="1">
      <formula>LEN(TRIM(E85))=0</formula>
    </cfRule>
    <cfRule type="cellIs" dxfId="13134" priority="709" stopIfTrue="1" operator="between">
      <formula>80.1</formula>
      <formula>100</formula>
    </cfRule>
    <cfRule type="cellIs" dxfId="13133" priority="710" stopIfTrue="1" operator="between">
      <formula>35.1</formula>
      <formula>80</formula>
    </cfRule>
    <cfRule type="cellIs" dxfId="13132" priority="711" stopIfTrue="1" operator="between">
      <formula>14.1</formula>
      <formula>35</formula>
    </cfRule>
    <cfRule type="cellIs" dxfId="13131" priority="712" stopIfTrue="1" operator="between">
      <formula>5.1</formula>
      <formula>14</formula>
    </cfRule>
    <cfRule type="cellIs" dxfId="13130" priority="713" stopIfTrue="1" operator="between">
      <formula>0</formula>
      <formula>5</formula>
    </cfRule>
    <cfRule type="containsBlanks" dxfId="13129" priority="714" stopIfTrue="1">
      <formula>LEN(TRIM(E85))=0</formula>
    </cfRule>
  </conditionalFormatting>
  <conditionalFormatting sqref="H87:P87">
    <cfRule type="containsBlanks" dxfId="13128" priority="701" stopIfTrue="1">
      <formula>LEN(TRIM(H87))=0</formula>
    </cfRule>
    <cfRule type="cellIs" dxfId="13127" priority="702" stopIfTrue="1" operator="between">
      <formula>80.1</formula>
      <formula>100</formula>
    </cfRule>
    <cfRule type="cellIs" dxfId="13126" priority="703" stopIfTrue="1" operator="between">
      <formula>35.1</formula>
      <formula>80</formula>
    </cfRule>
    <cfRule type="cellIs" dxfId="13125" priority="704" stopIfTrue="1" operator="between">
      <formula>14.1</formula>
      <formula>35</formula>
    </cfRule>
    <cfRule type="cellIs" dxfId="13124" priority="705" stopIfTrue="1" operator="between">
      <formula>5.1</formula>
      <formula>14</formula>
    </cfRule>
    <cfRule type="cellIs" dxfId="13123" priority="706" stopIfTrue="1" operator="between">
      <formula>0</formula>
      <formula>5</formula>
    </cfRule>
    <cfRule type="containsBlanks" dxfId="13122" priority="707" stopIfTrue="1">
      <formula>LEN(TRIM(H87))=0</formula>
    </cfRule>
  </conditionalFormatting>
  <conditionalFormatting sqref="N88:P88">
    <cfRule type="containsBlanks" dxfId="13121" priority="694" stopIfTrue="1">
      <formula>LEN(TRIM(N88))=0</formula>
    </cfRule>
    <cfRule type="cellIs" dxfId="13120" priority="695" stopIfTrue="1" operator="between">
      <formula>80.1</formula>
      <formula>100</formula>
    </cfRule>
    <cfRule type="cellIs" dxfId="13119" priority="696" stopIfTrue="1" operator="between">
      <formula>35.1</formula>
      <formula>80</formula>
    </cfRule>
    <cfRule type="cellIs" dxfId="13118" priority="697" stopIfTrue="1" operator="between">
      <formula>14.1</formula>
      <formula>35</formula>
    </cfRule>
    <cfRule type="cellIs" dxfId="13117" priority="698" stopIfTrue="1" operator="between">
      <formula>5.1</formula>
      <formula>14</formula>
    </cfRule>
    <cfRule type="cellIs" dxfId="13116" priority="699" stopIfTrue="1" operator="between">
      <formula>0</formula>
      <formula>5</formula>
    </cfRule>
    <cfRule type="containsBlanks" dxfId="13115" priority="700" stopIfTrue="1">
      <formula>LEN(TRIM(N88))=0</formula>
    </cfRule>
  </conditionalFormatting>
  <conditionalFormatting sqref="H89:P89">
    <cfRule type="containsBlanks" dxfId="13114" priority="687" stopIfTrue="1">
      <formula>LEN(TRIM(H89))=0</formula>
    </cfRule>
    <cfRule type="cellIs" dxfId="13113" priority="688" stopIfTrue="1" operator="between">
      <formula>80.1</formula>
      <formula>100</formula>
    </cfRule>
    <cfRule type="cellIs" dxfId="13112" priority="689" stopIfTrue="1" operator="between">
      <formula>35.1</formula>
      <formula>80</formula>
    </cfRule>
    <cfRule type="cellIs" dxfId="13111" priority="690" stopIfTrue="1" operator="between">
      <formula>14.1</formula>
      <formula>35</formula>
    </cfRule>
    <cfRule type="cellIs" dxfId="13110" priority="691" stopIfTrue="1" operator="between">
      <formula>5.1</formula>
      <formula>14</formula>
    </cfRule>
    <cfRule type="cellIs" dxfId="13109" priority="692" stopIfTrue="1" operator="between">
      <formula>0</formula>
      <formula>5</formula>
    </cfRule>
    <cfRule type="containsBlanks" dxfId="13108" priority="693" stopIfTrue="1">
      <formula>LEN(TRIM(H89))=0</formula>
    </cfRule>
  </conditionalFormatting>
  <conditionalFormatting sqref="E87:G87">
    <cfRule type="containsBlanks" dxfId="13107" priority="680" stopIfTrue="1">
      <formula>LEN(TRIM(E87))=0</formula>
    </cfRule>
    <cfRule type="cellIs" dxfId="13106" priority="681" stopIfTrue="1" operator="between">
      <formula>80.1</formula>
      <formula>100</formula>
    </cfRule>
    <cfRule type="cellIs" dxfId="13105" priority="682" stopIfTrue="1" operator="between">
      <formula>35.1</formula>
      <formula>80</formula>
    </cfRule>
    <cfRule type="cellIs" dxfId="13104" priority="683" stopIfTrue="1" operator="between">
      <formula>14.1</formula>
      <formula>35</formula>
    </cfRule>
    <cfRule type="cellIs" dxfId="13103" priority="684" stopIfTrue="1" operator="between">
      <formula>5.1</formula>
      <formula>14</formula>
    </cfRule>
    <cfRule type="cellIs" dxfId="13102" priority="685" stopIfTrue="1" operator="between">
      <formula>0</formula>
      <formula>5</formula>
    </cfRule>
    <cfRule type="containsBlanks" dxfId="13101" priority="686" stopIfTrue="1">
      <formula>LEN(TRIM(E87))=0</formula>
    </cfRule>
  </conditionalFormatting>
  <conditionalFormatting sqref="E88:M88">
    <cfRule type="containsBlanks" dxfId="13100" priority="673" stopIfTrue="1">
      <formula>LEN(TRIM(E88))=0</formula>
    </cfRule>
    <cfRule type="cellIs" dxfId="13099" priority="674" stopIfTrue="1" operator="between">
      <formula>80.1</formula>
      <formula>100</formula>
    </cfRule>
    <cfRule type="cellIs" dxfId="13098" priority="675" stopIfTrue="1" operator="between">
      <formula>35.1</formula>
      <formula>80</formula>
    </cfRule>
    <cfRule type="cellIs" dxfId="13097" priority="676" stopIfTrue="1" operator="between">
      <formula>14.1</formula>
      <formula>35</formula>
    </cfRule>
    <cfRule type="cellIs" dxfId="13096" priority="677" stopIfTrue="1" operator="between">
      <formula>5.1</formula>
      <formula>14</formula>
    </cfRule>
    <cfRule type="cellIs" dxfId="13095" priority="678" stopIfTrue="1" operator="between">
      <formula>0</formula>
      <formula>5</formula>
    </cfRule>
    <cfRule type="containsBlanks" dxfId="13094" priority="679" stopIfTrue="1">
      <formula>LEN(TRIM(E88))=0</formula>
    </cfRule>
  </conditionalFormatting>
  <conditionalFormatting sqref="E89:G89">
    <cfRule type="containsBlanks" dxfId="13093" priority="666" stopIfTrue="1">
      <formula>LEN(TRIM(E89))=0</formula>
    </cfRule>
    <cfRule type="cellIs" dxfId="13092" priority="667" stopIfTrue="1" operator="between">
      <formula>80.1</formula>
      <formula>100</formula>
    </cfRule>
    <cfRule type="cellIs" dxfId="13091" priority="668" stopIfTrue="1" operator="between">
      <formula>35.1</formula>
      <formula>80</formula>
    </cfRule>
    <cfRule type="cellIs" dxfId="13090" priority="669" stopIfTrue="1" operator="between">
      <formula>14.1</formula>
      <formula>35</formula>
    </cfRule>
    <cfRule type="cellIs" dxfId="13089" priority="670" stopIfTrue="1" operator="between">
      <formula>5.1</formula>
      <formula>14</formula>
    </cfRule>
    <cfRule type="cellIs" dxfId="13088" priority="671" stopIfTrue="1" operator="between">
      <formula>0</formula>
      <formula>5</formula>
    </cfRule>
    <cfRule type="containsBlanks" dxfId="13087" priority="672" stopIfTrue="1">
      <formula>LEN(TRIM(E89))=0</formula>
    </cfRule>
  </conditionalFormatting>
  <conditionalFormatting sqref="J90:P90">
    <cfRule type="containsBlanks" dxfId="13086" priority="659" stopIfTrue="1">
      <formula>LEN(TRIM(J90))=0</formula>
    </cfRule>
    <cfRule type="cellIs" dxfId="13085" priority="660" stopIfTrue="1" operator="between">
      <formula>80.1</formula>
      <formula>100</formula>
    </cfRule>
    <cfRule type="cellIs" dxfId="13084" priority="661" stopIfTrue="1" operator="between">
      <formula>35.1</formula>
      <formula>80</formula>
    </cfRule>
    <cfRule type="cellIs" dxfId="13083" priority="662" stopIfTrue="1" operator="between">
      <formula>14.1</formula>
      <formula>35</formula>
    </cfRule>
    <cfRule type="cellIs" dxfId="13082" priority="663" stopIfTrue="1" operator="between">
      <formula>5.1</formula>
      <formula>14</formula>
    </cfRule>
    <cfRule type="cellIs" dxfId="13081" priority="664" stopIfTrue="1" operator="between">
      <formula>0</formula>
      <formula>5</formula>
    </cfRule>
    <cfRule type="containsBlanks" dxfId="13080" priority="665" stopIfTrue="1">
      <formula>LEN(TRIM(J90))=0</formula>
    </cfRule>
  </conditionalFormatting>
  <conditionalFormatting sqref="J91:P91">
    <cfRule type="containsBlanks" dxfId="13079" priority="652" stopIfTrue="1">
      <formula>LEN(TRIM(J91))=0</formula>
    </cfRule>
    <cfRule type="cellIs" dxfId="13078" priority="653" stopIfTrue="1" operator="between">
      <formula>80.1</formula>
      <formula>100</formula>
    </cfRule>
    <cfRule type="cellIs" dxfId="13077" priority="654" stopIfTrue="1" operator="between">
      <formula>35.1</formula>
      <formula>80</formula>
    </cfRule>
    <cfRule type="cellIs" dxfId="13076" priority="655" stopIfTrue="1" operator="between">
      <formula>14.1</formula>
      <formula>35</formula>
    </cfRule>
    <cfRule type="cellIs" dxfId="13075" priority="656" stopIfTrue="1" operator="between">
      <formula>5.1</formula>
      <formula>14</formula>
    </cfRule>
    <cfRule type="cellIs" dxfId="13074" priority="657" stopIfTrue="1" operator="between">
      <formula>0</formula>
      <formula>5</formula>
    </cfRule>
    <cfRule type="containsBlanks" dxfId="13073" priority="658" stopIfTrue="1">
      <formula>LEN(TRIM(J91))=0</formula>
    </cfRule>
  </conditionalFormatting>
  <conditionalFormatting sqref="J92:P92">
    <cfRule type="containsBlanks" dxfId="13072" priority="645" stopIfTrue="1">
      <formula>LEN(TRIM(J92))=0</formula>
    </cfRule>
    <cfRule type="cellIs" dxfId="13071" priority="646" stopIfTrue="1" operator="between">
      <formula>80.1</formula>
      <formula>100</formula>
    </cfRule>
    <cfRule type="cellIs" dxfId="13070" priority="647" stopIfTrue="1" operator="between">
      <formula>35.1</formula>
      <formula>80</formula>
    </cfRule>
    <cfRule type="cellIs" dxfId="13069" priority="648" stopIfTrue="1" operator="between">
      <formula>14.1</formula>
      <formula>35</formula>
    </cfRule>
    <cfRule type="cellIs" dxfId="13068" priority="649" stopIfTrue="1" operator="between">
      <formula>5.1</formula>
      <formula>14</formula>
    </cfRule>
    <cfRule type="cellIs" dxfId="13067" priority="650" stopIfTrue="1" operator="between">
      <formula>0</formula>
      <formula>5</formula>
    </cfRule>
    <cfRule type="containsBlanks" dxfId="13066" priority="651" stopIfTrue="1">
      <formula>LEN(TRIM(J92))=0</formula>
    </cfRule>
  </conditionalFormatting>
  <conditionalFormatting sqref="E95:P95">
    <cfRule type="containsBlanks" dxfId="13065" priority="638" stopIfTrue="1">
      <formula>LEN(TRIM(E95))=0</formula>
    </cfRule>
    <cfRule type="cellIs" dxfId="13064" priority="639" stopIfTrue="1" operator="between">
      <formula>80.1</formula>
      <formula>100</formula>
    </cfRule>
    <cfRule type="cellIs" dxfId="13063" priority="640" stopIfTrue="1" operator="between">
      <formula>35.1</formula>
      <formula>80</formula>
    </cfRule>
    <cfRule type="cellIs" dxfId="13062" priority="641" stopIfTrue="1" operator="between">
      <formula>14.1</formula>
      <formula>35</formula>
    </cfRule>
    <cfRule type="cellIs" dxfId="13061" priority="642" stopIfTrue="1" operator="between">
      <formula>5.1</formula>
      <formula>14</formula>
    </cfRule>
    <cfRule type="cellIs" dxfId="13060" priority="643" stopIfTrue="1" operator="between">
      <formula>0</formula>
      <formula>5</formula>
    </cfRule>
    <cfRule type="containsBlanks" dxfId="13059" priority="644" stopIfTrue="1">
      <formula>LEN(TRIM(E95))=0</formula>
    </cfRule>
  </conditionalFormatting>
  <conditionalFormatting sqref="H94:P94">
    <cfRule type="containsBlanks" dxfId="13058" priority="631" stopIfTrue="1">
      <formula>LEN(TRIM(H94))=0</formula>
    </cfRule>
    <cfRule type="cellIs" dxfId="13057" priority="632" stopIfTrue="1" operator="between">
      <formula>80.1</formula>
      <formula>100</formula>
    </cfRule>
    <cfRule type="cellIs" dxfId="13056" priority="633" stopIfTrue="1" operator="between">
      <formula>35.1</formula>
      <formula>80</formula>
    </cfRule>
    <cfRule type="cellIs" dxfId="13055" priority="634" stopIfTrue="1" operator="between">
      <formula>14.1</formula>
      <formula>35</formula>
    </cfRule>
    <cfRule type="cellIs" dxfId="13054" priority="635" stopIfTrue="1" operator="between">
      <formula>5.1</formula>
      <formula>14</formula>
    </cfRule>
    <cfRule type="cellIs" dxfId="13053" priority="636" stopIfTrue="1" operator="between">
      <formula>0</formula>
      <formula>5</formula>
    </cfRule>
    <cfRule type="containsBlanks" dxfId="13052" priority="637" stopIfTrue="1">
      <formula>LEN(TRIM(H94))=0</formula>
    </cfRule>
  </conditionalFormatting>
  <conditionalFormatting sqref="L93:P93">
    <cfRule type="containsBlanks" dxfId="13051" priority="624" stopIfTrue="1">
      <formula>LEN(TRIM(L93))=0</formula>
    </cfRule>
    <cfRule type="cellIs" dxfId="13050" priority="625" stopIfTrue="1" operator="between">
      <formula>80.1</formula>
      <formula>100</formula>
    </cfRule>
    <cfRule type="cellIs" dxfId="13049" priority="626" stopIfTrue="1" operator="between">
      <formula>35.1</formula>
      <formula>80</formula>
    </cfRule>
    <cfRule type="cellIs" dxfId="13048" priority="627" stopIfTrue="1" operator="between">
      <formula>14.1</formula>
      <formula>35</formula>
    </cfRule>
    <cfRule type="cellIs" dxfId="13047" priority="628" stopIfTrue="1" operator="between">
      <formula>5.1</formula>
      <formula>14</formula>
    </cfRule>
    <cfRule type="cellIs" dxfId="13046" priority="629" stopIfTrue="1" operator="between">
      <formula>0</formula>
      <formula>5</formula>
    </cfRule>
    <cfRule type="containsBlanks" dxfId="13045" priority="630" stopIfTrue="1">
      <formula>LEN(TRIM(L93))=0</formula>
    </cfRule>
  </conditionalFormatting>
  <conditionalFormatting sqref="E90:I90">
    <cfRule type="containsBlanks" dxfId="13044" priority="617" stopIfTrue="1">
      <formula>LEN(TRIM(E90))=0</formula>
    </cfRule>
    <cfRule type="cellIs" dxfId="13043" priority="618" stopIfTrue="1" operator="between">
      <formula>80.1</formula>
      <formula>100</formula>
    </cfRule>
    <cfRule type="cellIs" dxfId="13042" priority="619" stopIfTrue="1" operator="between">
      <formula>35.1</formula>
      <formula>80</formula>
    </cfRule>
    <cfRule type="cellIs" dxfId="13041" priority="620" stopIfTrue="1" operator="between">
      <formula>14.1</formula>
      <formula>35</formula>
    </cfRule>
    <cfRule type="cellIs" dxfId="13040" priority="621" stopIfTrue="1" operator="between">
      <formula>5.1</formula>
      <formula>14</formula>
    </cfRule>
    <cfRule type="cellIs" dxfId="13039" priority="622" stopIfTrue="1" operator="between">
      <formula>0</formula>
      <formula>5</formula>
    </cfRule>
    <cfRule type="containsBlanks" dxfId="13038" priority="623" stopIfTrue="1">
      <formula>LEN(TRIM(E90))=0</formula>
    </cfRule>
  </conditionalFormatting>
  <conditionalFormatting sqref="E91:I91">
    <cfRule type="containsBlanks" dxfId="13037" priority="610" stopIfTrue="1">
      <formula>LEN(TRIM(E91))=0</formula>
    </cfRule>
    <cfRule type="cellIs" dxfId="13036" priority="611" stopIfTrue="1" operator="between">
      <formula>80.1</formula>
      <formula>100</formula>
    </cfRule>
    <cfRule type="cellIs" dxfId="13035" priority="612" stopIfTrue="1" operator="between">
      <formula>35.1</formula>
      <formula>80</formula>
    </cfRule>
    <cfRule type="cellIs" dxfId="13034" priority="613" stopIfTrue="1" operator="between">
      <formula>14.1</formula>
      <formula>35</formula>
    </cfRule>
    <cfRule type="cellIs" dxfId="13033" priority="614" stopIfTrue="1" operator="between">
      <formula>5.1</formula>
      <formula>14</formula>
    </cfRule>
    <cfRule type="cellIs" dxfId="13032" priority="615" stopIfTrue="1" operator="between">
      <formula>0</formula>
      <formula>5</formula>
    </cfRule>
    <cfRule type="containsBlanks" dxfId="13031" priority="616" stopIfTrue="1">
      <formula>LEN(TRIM(E91))=0</formula>
    </cfRule>
  </conditionalFormatting>
  <conditionalFormatting sqref="E92:I92">
    <cfRule type="containsBlanks" dxfId="13030" priority="603" stopIfTrue="1">
      <formula>LEN(TRIM(E92))=0</formula>
    </cfRule>
    <cfRule type="cellIs" dxfId="13029" priority="604" stopIfTrue="1" operator="between">
      <formula>80.1</formula>
      <formula>100</formula>
    </cfRule>
    <cfRule type="cellIs" dxfId="13028" priority="605" stopIfTrue="1" operator="between">
      <formula>35.1</formula>
      <formula>80</formula>
    </cfRule>
    <cfRule type="cellIs" dxfId="13027" priority="606" stopIfTrue="1" operator="between">
      <formula>14.1</formula>
      <formula>35</formula>
    </cfRule>
    <cfRule type="cellIs" dxfId="13026" priority="607" stopIfTrue="1" operator="between">
      <formula>5.1</formula>
      <formula>14</formula>
    </cfRule>
    <cfRule type="cellIs" dxfId="13025" priority="608" stopIfTrue="1" operator="between">
      <formula>0</formula>
      <formula>5</formula>
    </cfRule>
    <cfRule type="containsBlanks" dxfId="13024" priority="609" stopIfTrue="1">
      <formula>LEN(TRIM(E92))=0</formula>
    </cfRule>
  </conditionalFormatting>
  <conditionalFormatting sqref="E93:K93">
    <cfRule type="containsBlanks" dxfId="13023" priority="596" stopIfTrue="1">
      <formula>LEN(TRIM(E93))=0</formula>
    </cfRule>
    <cfRule type="cellIs" dxfId="13022" priority="597" stopIfTrue="1" operator="between">
      <formula>80.1</formula>
      <formula>100</formula>
    </cfRule>
    <cfRule type="cellIs" dxfId="13021" priority="598" stopIfTrue="1" operator="between">
      <formula>35.1</formula>
      <formula>80</formula>
    </cfRule>
    <cfRule type="cellIs" dxfId="13020" priority="599" stopIfTrue="1" operator="between">
      <formula>14.1</formula>
      <formula>35</formula>
    </cfRule>
    <cfRule type="cellIs" dxfId="13019" priority="600" stopIfTrue="1" operator="between">
      <formula>5.1</formula>
      <formula>14</formula>
    </cfRule>
    <cfRule type="cellIs" dxfId="13018" priority="601" stopIfTrue="1" operator="between">
      <formula>0</formula>
      <formula>5</formula>
    </cfRule>
    <cfRule type="containsBlanks" dxfId="13017" priority="602" stopIfTrue="1">
      <formula>LEN(TRIM(E93))=0</formula>
    </cfRule>
  </conditionalFormatting>
  <conditionalFormatting sqref="E94:G94">
    <cfRule type="containsBlanks" dxfId="13016" priority="589" stopIfTrue="1">
      <formula>LEN(TRIM(E94))=0</formula>
    </cfRule>
    <cfRule type="cellIs" dxfId="13015" priority="590" stopIfTrue="1" operator="between">
      <formula>80.1</formula>
      <formula>100</formula>
    </cfRule>
    <cfRule type="cellIs" dxfId="13014" priority="591" stopIfTrue="1" operator="between">
      <formula>35.1</formula>
      <formula>80</formula>
    </cfRule>
    <cfRule type="cellIs" dxfId="13013" priority="592" stopIfTrue="1" operator="between">
      <formula>14.1</formula>
      <formula>35</formula>
    </cfRule>
    <cfRule type="cellIs" dxfId="13012" priority="593" stopIfTrue="1" operator="between">
      <formula>5.1</formula>
      <formula>14</formula>
    </cfRule>
    <cfRule type="cellIs" dxfId="13011" priority="594" stopIfTrue="1" operator="between">
      <formula>0</formula>
      <formula>5</formula>
    </cfRule>
    <cfRule type="containsBlanks" dxfId="13010" priority="595" stopIfTrue="1">
      <formula>LEN(TRIM(E94))=0</formula>
    </cfRule>
  </conditionalFormatting>
  <conditionalFormatting sqref="E101:P101">
    <cfRule type="containsBlanks" dxfId="13009" priority="582" stopIfTrue="1">
      <formula>LEN(TRIM(E101))=0</formula>
    </cfRule>
    <cfRule type="cellIs" dxfId="13008" priority="583" stopIfTrue="1" operator="between">
      <formula>80.1</formula>
      <formula>100</formula>
    </cfRule>
    <cfRule type="cellIs" dxfId="13007" priority="584" stopIfTrue="1" operator="between">
      <formula>35.1</formula>
      <formula>80</formula>
    </cfRule>
    <cfRule type="cellIs" dxfId="13006" priority="585" stopIfTrue="1" operator="between">
      <formula>14.1</formula>
      <formula>35</formula>
    </cfRule>
    <cfRule type="cellIs" dxfId="13005" priority="586" stopIfTrue="1" operator="between">
      <formula>5.1</formula>
      <formula>14</formula>
    </cfRule>
    <cfRule type="cellIs" dxfId="13004" priority="587" stopIfTrue="1" operator="between">
      <formula>0</formula>
      <formula>5</formula>
    </cfRule>
    <cfRule type="containsBlanks" dxfId="13003" priority="588" stopIfTrue="1">
      <formula>LEN(TRIM(E101))=0</formula>
    </cfRule>
  </conditionalFormatting>
  <conditionalFormatting sqref="E100:P100">
    <cfRule type="containsBlanks" dxfId="13002" priority="575" stopIfTrue="1">
      <formula>LEN(TRIM(E100))=0</formula>
    </cfRule>
    <cfRule type="cellIs" dxfId="13001" priority="576" stopIfTrue="1" operator="between">
      <formula>80.1</formula>
      <formula>100</formula>
    </cfRule>
    <cfRule type="cellIs" dxfId="13000" priority="577" stopIfTrue="1" operator="between">
      <formula>35.1</formula>
      <formula>80</formula>
    </cfRule>
    <cfRule type="cellIs" dxfId="12999" priority="578" stopIfTrue="1" operator="between">
      <formula>14.1</formula>
      <formula>35</formula>
    </cfRule>
    <cfRule type="cellIs" dxfId="12998" priority="579" stopIfTrue="1" operator="between">
      <formula>5.1</formula>
      <formula>14</formula>
    </cfRule>
    <cfRule type="cellIs" dxfId="12997" priority="580" stopIfTrue="1" operator="between">
      <formula>0</formula>
      <formula>5</formula>
    </cfRule>
    <cfRule type="containsBlanks" dxfId="12996" priority="581" stopIfTrue="1">
      <formula>LEN(TRIM(E100))=0</formula>
    </cfRule>
  </conditionalFormatting>
  <conditionalFormatting sqref="E97:P97">
    <cfRule type="containsBlanks" dxfId="12995" priority="568" stopIfTrue="1">
      <formula>LEN(TRIM(E97))=0</formula>
    </cfRule>
    <cfRule type="cellIs" dxfId="12994" priority="569" stopIfTrue="1" operator="between">
      <formula>80.1</formula>
      <formula>100</formula>
    </cfRule>
    <cfRule type="cellIs" dxfId="12993" priority="570" stopIfTrue="1" operator="between">
      <formula>35.1</formula>
      <formula>80</formula>
    </cfRule>
    <cfRule type="cellIs" dxfId="12992" priority="571" stopIfTrue="1" operator="between">
      <formula>14.1</formula>
      <formula>35</formula>
    </cfRule>
    <cfRule type="cellIs" dxfId="12991" priority="572" stopIfTrue="1" operator="between">
      <formula>5.1</formula>
      <formula>14</formula>
    </cfRule>
    <cfRule type="cellIs" dxfId="12990" priority="573" stopIfTrue="1" operator="between">
      <formula>0</formula>
      <formula>5</formula>
    </cfRule>
    <cfRule type="containsBlanks" dxfId="12989" priority="574" stopIfTrue="1">
      <formula>LEN(TRIM(E97))=0</formula>
    </cfRule>
  </conditionalFormatting>
  <conditionalFormatting sqref="E96:P96">
    <cfRule type="containsBlanks" dxfId="12988" priority="561" stopIfTrue="1">
      <formula>LEN(TRIM(E96))=0</formula>
    </cfRule>
    <cfRule type="cellIs" dxfId="12987" priority="562" stopIfTrue="1" operator="between">
      <formula>80.1</formula>
      <formula>100</formula>
    </cfRule>
    <cfRule type="cellIs" dxfId="12986" priority="563" stopIfTrue="1" operator="between">
      <formula>35.1</formula>
      <formula>80</formula>
    </cfRule>
    <cfRule type="cellIs" dxfId="12985" priority="564" stopIfTrue="1" operator="between">
      <formula>14.1</formula>
      <formula>35</formula>
    </cfRule>
    <cfRule type="cellIs" dxfId="12984" priority="565" stopIfTrue="1" operator="between">
      <formula>5.1</formula>
      <formula>14</formula>
    </cfRule>
    <cfRule type="cellIs" dxfId="12983" priority="566" stopIfTrue="1" operator="between">
      <formula>0</formula>
      <formula>5</formula>
    </cfRule>
    <cfRule type="containsBlanks" dxfId="12982" priority="567" stopIfTrue="1">
      <formula>LEN(TRIM(E96))=0</formula>
    </cfRule>
  </conditionalFormatting>
  <conditionalFormatting sqref="E98:P98">
    <cfRule type="containsBlanks" dxfId="12981" priority="554" stopIfTrue="1">
      <formula>LEN(TRIM(E98))=0</formula>
    </cfRule>
    <cfRule type="cellIs" dxfId="12980" priority="555" stopIfTrue="1" operator="between">
      <formula>80.1</formula>
      <formula>100</formula>
    </cfRule>
    <cfRule type="cellIs" dxfId="12979" priority="556" stopIfTrue="1" operator="between">
      <formula>35.1</formula>
      <formula>80</formula>
    </cfRule>
    <cfRule type="cellIs" dxfId="12978" priority="557" stopIfTrue="1" operator="between">
      <formula>14.1</formula>
      <formula>35</formula>
    </cfRule>
    <cfRule type="cellIs" dxfId="12977" priority="558" stopIfTrue="1" operator="between">
      <formula>5.1</formula>
      <formula>14</formula>
    </cfRule>
    <cfRule type="cellIs" dxfId="12976" priority="559" stopIfTrue="1" operator="between">
      <formula>0</formula>
      <formula>5</formula>
    </cfRule>
    <cfRule type="containsBlanks" dxfId="12975" priority="560" stopIfTrue="1">
      <formula>LEN(TRIM(E98))=0</formula>
    </cfRule>
  </conditionalFormatting>
  <conditionalFormatting sqref="E102:P102">
    <cfRule type="containsBlanks" dxfId="12974" priority="547" stopIfTrue="1">
      <formula>LEN(TRIM(E102))=0</formula>
    </cfRule>
    <cfRule type="cellIs" dxfId="12973" priority="548" stopIfTrue="1" operator="between">
      <formula>80.1</formula>
      <formula>100</formula>
    </cfRule>
    <cfRule type="cellIs" dxfId="12972" priority="549" stopIfTrue="1" operator="between">
      <formula>35.1</formula>
      <formula>80</formula>
    </cfRule>
    <cfRule type="cellIs" dxfId="12971" priority="550" stopIfTrue="1" operator="between">
      <formula>14.1</formula>
      <formula>35</formula>
    </cfRule>
    <cfRule type="cellIs" dxfId="12970" priority="551" stopIfTrue="1" operator="between">
      <formula>5.1</formula>
      <formula>14</formula>
    </cfRule>
    <cfRule type="cellIs" dxfId="12969" priority="552" stopIfTrue="1" operator="between">
      <formula>0</formula>
      <formula>5</formula>
    </cfRule>
    <cfRule type="containsBlanks" dxfId="12968" priority="553" stopIfTrue="1">
      <formula>LEN(TRIM(E102))=0</formula>
    </cfRule>
  </conditionalFormatting>
  <conditionalFormatting sqref="E103:P119">
    <cfRule type="containsBlanks" dxfId="12967" priority="533" stopIfTrue="1">
      <formula>LEN(TRIM(E103))=0</formula>
    </cfRule>
    <cfRule type="cellIs" dxfId="12966" priority="534" stopIfTrue="1" operator="between">
      <formula>80.1</formula>
      <formula>100</formula>
    </cfRule>
    <cfRule type="cellIs" dxfId="12965" priority="535" stopIfTrue="1" operator="between">
      <formula>35.1</formula>
      <formula>80</formula>
    </cfRule>
    <cfRule type="cellIs" dxfId="12964" priority="536" stopIfTrue="1" operator="between">
      <formula>14.1</formula>
      <formula>35</formula>
    </cfRule>
    <cfRule type="cellIs" dxfId="12963" priority="537" stopIfTrue="1" operator="between">
      <formula>5.1</formula>
      <formula>14</formula>
    </cfRule>
    <cfRule type="cellIs" dxfId="12962" priority="538" stopIfTrue="1" operator="between">
      <formula>0</formula>
      <formula>5</formula>
    </cfRule>
    <cfRule type="containsBlanks" dxfId="12961" priority="539" stopIfTrue="1">
      <formula>LEN(TRIM(E103))=0</formula>
    </cfRule>
  </conditionalFormatting>
  <conditionalFormatting sqref="E120:P121">
    <cfRule type="containsBlanks" dxfId="12960" priority="526" stopIfTrue="1">
      <formula>LEN(TRIM(E120))=0</formula>
    </cfRule>
    <cfRule type="cellIs" dxfId="12959" priority="527" stopIfTrue="1" operator="between">
      <formula>80.1</formula>
      <formula>100</formula>
    </cfRule>
    <cfRule type="cellIs" dxfId="12958" priority="528" stopIfTrue="1" operator="between">
      <formula>35.1</formula>
      <formula>80</formula>
    </cfRule>
    <cfRule type="cellIs" dxfId="12957" priority="529" stopIfTrue="1" operator="between">
      <formula>14.1</formula>
      <formula>35</formula>
    </cfRule>
    <cfRule type="cellIs" dxfId="12956" priority="530" stopIfTrue="1" operator="between">
      <formula>5.1</formula>
      <formula>14</formula>
    </cfRule>
    <cfRule type="cellIs" dxfId="12955" priority="531" stopIfTrue="1" operator="between">
      <formula>0</formula>
      <formula>5</formula>
    </cfRule>
    <cfRule type="containsBlanks" dxfId="12954" priority="532" stopIfTrue="1">
      <formula>LEN(TRIM(E120))=0</formula>
    </cfRule>
  </conditionalFormatting>
  <conditionalFormatting sqref="E123:P136">
    <cfRule type="containsBlanks" dxfId="12953" priority="519" stopIfTrue="1">
      <formula>LEN(TRIM(E123))=0</formula>
    </cfRule>
    <cfRule type="cellIs" dxfId="12952" priority="520" stopIfTrue="1" operator="between">
      <formula>79.1</formula>
      <formula>100</formula>
    </cfRule>
    <cfRule type="cellIs" dxfId="12951" priority="521" stopIfTrue="1" operator="between">
      <formula>34.1</formula>
      <formula>79</formula>
    </cfRule>
    <cfRule type="cellIs" dxfId="12950" priority="522" stopIfTrue="1" operator="between">
      <formula>13.1</formula>
      <formula>34</formula>
    </cfRule>
    <cfRule type="cellIs" dxfId="12949" priority="523" stopIfTrue="1" operator="between">
      <formula>5.1</formula>
      <formula>13</formula>
    </cfRule>
    <cfRule type="cellIs" dxfId="12948" priority="524" stopIfTrue="1" operator="between">
      <formula>0</formula>
      <formula>5</formula>
    </cfRule>
    <cfRule type="containsBlanks" dxfId="12947" priority="525" stopIfTrue="1">
      <formula>LEN(TRIM(E123))=0</formula>
    </cfRule>
  </conditionalFormatting>
  <conditionalFormatting sqref="I137:J137 H138:J139 I140:J142 E143:J143 Q137:Q143">
    <cfRule type="containsBlanks" dxfId="12946" priority="512" stopIfTrue="1">
      <formula>LEN(TRIM(E137))=0</formula>
    </cfRule>
    <cfRule type="cellIs" dxfId="12945" priority="513" stopIfTrue="1" operator="between">
      <formula>80.1</formula>
      <formula>100</formula>
    </cfRule>
    <cfRule type="cellIs" dxfId="12944" priority="514" stopIfTrue="1" operator="between">
      <formula>35.1</formula>
      <formula>80</formula>
    </cfRule>
    <cfRule type="cellIs" dxfId="12943" priority="515" stopIfTrue="1" operator="between">
      <formula>14.1</formula>
      <formula>35</formula>
    </cfRule>
    <cfRule type="cellIs" dxfId="12942" priority="516" stopIfTrue="1" operator="between">
      <formula>5.1</formula>
      <formula>14</formula>
    </cfRule>
    <cfRule type="cellIs" dxfId="12941" priority="517" stopIfTrue="1" operator="between">
      <formula>0</formula>
      <formula>5</formula>
    </cfRule>
    <cfRule type="containsBlanks" dxfId="12940" priority="518" stopIfTrue="1">
      <formula>LEN(TRIM(E137))=0</formula>
    </cfRule>
  </conditionalFormatting>
  <conditionalFormatting sqref="E137">
    <cfRule type="containsBlanks" dxfId="12939" priority="505" stopIfTrue="1">
      <formula>LEN(TRIM(E137))=0</formula>
    </cfRule>
    <cfRule type="cellIs" dxfId="12938" priority="506" stopIfTrue="1" operator="between">
      <formula>80.1</formula>
      <formula>100</formula>
    </cfRule>
    <cfRule type="cellIs" dxfId="12937" priority="507" stopIfTrue="1" operator="between">
      <formula>35.1</formula>
      <formula>80</formula>
    </cfRule>
    <cfRule type="cellIs" dxfId="12936" priority="508" stopIfTrue="1" operator="between">
      <formula>14.1</formula>
      <formula>35</formula>
    </cfRule>
    <cfRule type="cellIs" dxfId="12935" priority="509" stopIfTrue="1" operator="between">
      <formula>5.1</formula>
      <formula>14</formula>
    </cfRule>
    <cfRule type="cellIs" dxfId="12934" priority="510" stopIfTrue="1" operator="between">
      <formula>0</formula>
      <formula>5</formula>
    </cfRule>
    <cfRule type="containsBlanks" dxfId="12933" priority="511" stopIfTrue="1">
      <formula>LEN(TRIM(E137))=0</formula>
    </cfRule>
  </conditionalFormatting>
  <conditionalFormatting sqref="E138">
    <cfRule type="containsBlanks" dxfId="12932" priority="498" stopIfTrue="1">
      <formula>LEN(TRIM(E138))=0</formula>
    </cfRule>
    <cfRule type="cellIs" dxfId="12931" priority="499" stopIfTrue="1" operator="between">
      <formula>80.1</formula>
      <formula>100</formula>
    </cfRule>
    <cfRule type="cellIs" dxfId="12930" priority="500" stopIfTrue="1" operator="between">
      <formula>35.1</formula>
      <formula>80</formula>
    </cfRule>
    <cfRule type="cellIs" dxfId="12929" priority="501" stopIfTrue="1" operator="between">
      <formula>14.1</formula>
      <formula>35</formula>
    </cfRule>
    <cfRule type="cellIs" dxfId="12928" priority="502" stopIfTrue="1" operator="between">
      <formula>5.1</formula>
      <formula>14</formula>
    </cfRule>
    <cfRule type="cellIs" dxfId="12927" priority="503" stopIfTrue="1" operator="between">
      <formula>0</formula>
      <formula>5</formula>
    </cfRule>
    <cfRule type="containsBlanks" dxfId="12926" priority="504" stopIfTrue="1">
      <formula>LEN(TRIM(E138))=0</formula>
    </cfRule>
  </conditionalFormatting>
  <conditionalFormatting sqref="E139">
    <cfRule type="containsBlanks" dxfId="12925" priority="491" stopIfTrue="1">
      <formula>LEN(TRIM(E139))=0</formula>
    </cfRule>
    <cfRule type="cellIs" dxfId="12924" priority="492" stopIfTrue="1" operator="between">
      <formula>80.1</formula>
      <formula>100</formula>
    </cfRule>
    <cfRule type="cellIs" dxfId="12923" priority="493" stopIfTrue="1" operator="between">
      <formula>35.1</formula>
      <formula>80</formula>
    </cfRule>
    <cfRule type="cellIs" dxfId="12922" priority="494" stopIfTrue="1" operator="between">
      <formula>14.1</formula>
      <formula>35</formula>
    </cfRule>
    <cfRule type="cellIs" dxfId="12921" priority="495" stopIfTrue="1" operator="between">
      <formula>5.1</formula>
      <formula>14</formula>
    </cfRule>
    <cfRule type="cellIs" dxfId="12920" priority="496" stopIfTrue="1" operator="between">
      <formula>0</formula>
      <formula>5</formula>
    </cfRule>
    <cfRule type="containsBlanks" dxfId="12919" priority="497" stopIfTrue="1">
      <formula>LEN(TRIM(E139))=0</formula>
    </cfRule>
  </conditionalFormatting>
  <conditionalFormatting sqref="E140">
    <cfRule type="containsBlanks" dxfId="12918" priority="484" stopIfTrue="1">
      <formula>LEN(TRIM(E140))=0</formula>
    </cfRule>
    <cfRule type="cellIs" dxfId="12917" priority="485" stopIfTrue="1" operator="between">
      <formula>80.1</formula>
      <formula>100</formula>
    </cfRule>
    <cfRule type="cellIs" dxfId="12916" priority="486" stopIfTrue="1" operator="between">
      <formula>35.1</formula>
      <formula>80</formula>
    </cfRule>
    <cfRule type="cellIs" dxfId="12915" priority="487" stopIfTrue="1" operator="between">
      <formula>14.1</formula>
      <formula>35</formula>
    </cfRule>
    <cfRule type="cellIs" dxfId="12914" priority="488" stopIfTrue="1" operator="between">
      <formula>5.1</formula>
      <formula>14</formula>
    </cfRule>
    <cfRule type="cellIs" dxfId="12913" priority="489" stopIfTrue="1" operator="between">
      <formula>0</formula>
      <formula>5</formula>
    </cfRule>
    <cfRule type="containsBlanks" dxfId="12912" priority="490" stopIfTrue="1">
      <formula>LEN(TRIM(E140))=0</formula>
    </cfRule>
  </conditionalFormatting>
  <conditionalFormatting sqref="E141">
    <cfRule type="containsBlanks" dxfId="12911" priority="477" stopIfTrue="1">
      <formula>LEN(TRIM(E141))=0</formula>
    </cfRule>
    <cfRule type="cellIs" dxfId="12910" priority="478" stopIfTrue="1" operator="between">
      <formula>80.1</formula>
      <formula>100</formula>
    </cfRule>
    <cfRule type="cellIs" dxfId="12909" priority="479" stopIfTrue="1" operator="between">
      <formula>35.1</formula>
      <formula>80</formula>
    </cfRule>
    <cfRule type="cellIs" dxfId="12908" priority="480" stopIfTrue="1" operator="between">
      <formula>14.1</formula>
      <formula>35</formula>
    </cfRule>
    <cfRule type="cellIs" dxfId="12907" priority="481" stopIfTrue="1" operator="between">
      <formula>5.1</formula>
      <formula>14</formula>
    </cfRule>
    <cfRule type="cellIs" dxfId="12906" priority="482" stopIfTrue="1" operator="between">
      <formula>0</formula>
      <formula>5</formula>
    </cfRule>
    <cfRule type="containsBlanks" dxfId="12905" priority="483" stopIfTrue="1">
      <formula>LEN(TRIM(E141))=0</formula>
    </cfRule>
  </conditionalFormatting>
  <conditionalFormatting sqref="E142">
    <cfRule type="containsBlanks" dxfId="12904" priority="470" stopIfTrue="1">
      <formula>LEN(TRIM(E142))=0</formula>
    </cfRule>
    <cfRule type="cellIs" dxfId="12903" priority="471" stopIfTrue="1" operator="between">
      <formula>80.1</formula>
      <formula>100</formula>
    </cfRule>
    <cfRule type="cellIs" dxfId="12902" priority="472" stopIfTrue="1" operator="between">
      <formula>35.1</formula>
      <formula>80</formula>
    </cfRule>
    <cfRule type="cellIs" dxfId="12901" priority="473" stopIfTrue="1" operator="between">
      <formula>14.1</formula>
      <formula>35</formula>
    </cfRule>
    <cfRule type="cellIs" dxfId="12900" priority="474" stopIfTrue="1" operator="between">
      <formula>5.1</formula>
      <formula>14</formula>
    </cfRule>
    <cfRule type="cellIs" dxfId="12899" priority="475" stopIfTrue="1" operator="between">
      <formula>0</formula>
      <formula>5</formula>
    </cfRule>
    <cfRule type="containsBlanks" dxfId="12898" priority="476" stopIfTrue="1">
      <formula>LEN(TRIM(E142))=0</formula>
    </cfRule>
  </conditionalFormatting>
  <conditionalFormatting sqref="F141:H141">
    <cfRule type="containsBlanks" dxfId="12897" priority="463" stopIfTrue="1">
      <formula>LEN(TRIM(F141))=0</formula>
    </cfRule>
    <cfRule type="cellIs" dxfId="12896" priority="464" stopIfTrue="1" operator="between">
      <formula>80.1</formula>
      <formula>100</formula>
    </cfRule>
    <cfRule type="cellIs" dxfId="12895" priority="465" stopIfTrue="1" operator="between">
      <formula>35.1</formula>
      <formula>80</formula>
    </cfRule>
    <cfRule type="cellIs" dxfId="12894" priority="466" stopIfTrue="1" operator="between">
      <formula>14.1</formula>
      <formula>35</formula>
    </cfRule>
    <cfRule type="cellIs" dxfId="12893" priority="467" stopIfTrue="1" operator="between">
      <formula>5.1</formula>
      <formula>14</formula>
    </cfRule>
    <cfRule type="cellIs" dxfId="12892" priority="468" stopIfTrue="1" operator="between">
      <formula>0</formula>
      <formula>5</formula>
    </cfRule>
    <cfRule type="containsBlanks" dxfId="12891" priority="469" stopIfTrue="1">
      <formula>LEN(TRIM(F141))=0</formula>
    </cfRule>
  </conditionalFormatting>
  <conditionalFormatting sqref="F137:H137">
    <cfRule type="containsBlanks" dxfId="12890" priority="456" stopIfTrue="1">
      <formula>LEN(TRIM(F137))=0</formula>
    </cfRule>
    <cfRule type="cellIs" dxfId="12889" priority="457" stopIfTrue="1" operator="between">
      <formula>80.1</formula>
      <formula>100</formula>
    </cfRule>
    <cfRule type="cellIs" dxfId="12888" priority="458" stopIfTrue="1" operator="between">
      <formula>35.1</formula>
      <formula>80</formula>
    </cfRule>
    <cfRule type="cellIs" dxfId="12887" priority="459" stopIfTrue="1" operator="between">
      <formula>14.1</formula>
      <formula>35</formula>
    </cfRule>
    <cfRule type="cellIs" dxfId="12886" priority="460" stopIfTrue="1" operator="between">
      <formula>5.1</formula>
      <formula>14</formula>
    </cfRule>
    <cfRule type="cellIs" dxfId="12885" priority="461" stopIfTrue="1" operator="between">
      <formula>0</formula>
      <formula>5</formula>
    </cfRule>
    <cfRule type="containsBlanks" dxfId="12884" priority="462" stopIfTrue="1">
      <formula>LEN(TRIM(F137))=0</formula>
    </cfRule>
  </conditionalFormatting>
  <conditionalFormatting sqref="F139:G139">
    <cfRule type="containsBlanks" dxfId="12883" priority="449" stopIfTrue="1">
      <formula>LEN(TRIM(F139))=0</formula>
    </cfRule>
    <cfRule type="cellIs" dxfId="12882" priority="450" stopIfTrue="1" operator="between">
      <formula>80.1</formula>
      <formula>100</formula>
    </cfRule>
    <cfRule type="cellIs" dxfId="12881" priority="451" stopIfTrue="1" operator="between">
      <formula>35.1</formula>
      <formula>80</formula>
    </cfRule>
    <cfRule type="cellIs" dxfId="12880" priority="452" stopIfTrue="1" operator="between">
      <formula>14.1</formula>
      <formula>35</formula>
    </cfRule>
    <cfRule type="cellIs" dxfId="12879" priority="453" stopIfTrue="1" operator="between">
      <formula>5.1</formula>
      <formula>14</formula>
    </cfRule>
    <cfRule type="cellIs" dxfId="12878" priority="454" stopIfTrue="1" operator="between">
      <formula>0</formula>
      <formula>5</formula>
    </cfRule>
    <cfRule type="containsBlanks" dxfId="12877" priority="455" stopIfTrue="1">
      <formula>LEN(TRIM(F139))=0</formula>
    </cfRule>
  </conditionalFormatting>
  <conditionalFormatting sqref="F138:G138">
    <cfRule type="containsBlanks" dxfId="12876" priority="442" stopIfTrue="1">
      <formula>LEN(TRIM(F138))=0</formula>
    </cfRule>
    <cfRule type="cellIs" dxfId="12875" priority="443" stopIfTrue="1" operator="between">
      <formula>80.1</formula>
      <formula>100</formula>
    </cfRule>
    <cfRule type="cellIs" dxfId="12874" priority="444" stopIfTrue="1" operator="between">
      <formula>35.1</formula>
      <formula>80</formula>
    </cfRule>
    <cfRule type="cellIs" dxfId="12873" priority="445" stopIfTrue="1" operator="between">
      <formula>14.1</formula>
      <formula>35</formula>
    </cfRule>
    <cfRule type="cellIs" dxfId="12872" priority="446" stopIfTrue="1" operator="between">
      <formula>5.1</formula>
      <formula>14</formula>
    </cfRule>
    <cfRule type="cellIs" dxfId="12871" priority="447" stopIfTrue="1" operator="between">
      <formula>0</formula>
      <formula>5</formula>
    </cfRule>
    <cfRule type="containsBlanks" dxfId="12870" priority="448" stopIfTrue="1">
      <formula>LEN(TRIM(F138))=0</formula>
    </cfRule>
  </conditionalFormatting>
  <conditionalFormatting sqref="F142:H142">
    <cfRule type="containsBlanks" dxfId="12869" priority="435" stopIfTrue="1">
      <formula>LEN(TRIM(F142))=0</formula>
    </cfRule>
    <cfRule type="cellIs" dxfId="12868" priority="436" stopIfTrue="1" operator="between">
      <formula>80.1</formula>
      <formula>100</formula>
    </cfRule>
    <cfRule type="cellIs" dxfId="12867" priority="437" stopIfTrue="1" operator="between">
      <formula>35.1</formula>
      <formula>80</formula>
    </cfRule>
    <cfRule type="cellIs" dxfId="12866" priority="438" stopIfTrue="1" operator="between">
      <formula>14.1</formula>
      <formula>35</formula>
    </cfRule>
    <cfRule type="cellIs" dxfId="12865" priority="439" stopIfTrue="1" operator="between">
      <formula>5.1</formula>
      <formula>14</formula>
    </cfRule>
    <cfRule type="cellIs" dxfId="12864" priority="440" stopIfTrue="1" operator="between">
      <formula>0</formula>
      <formula>5</formula>
    </cfRule>
    <cfRule type="containsBlanks" dxfId="12863" priority="441" stopIfTrue="1">
      <formula>LEN(TRIM(F142))=0</formula>
    </cfRule>
  </conditionalFormatting>
  <conditionalFormatting sqref="F140:H140">
    <cfRule type="containsBlanks" dxfId="12862" priority="428" stopIfTrue="1">
      <formula>LEN(TRIM(F140))=0</formula>
    </cfRule>
    <cfRule type="cellIs" dxfId="12861" priority="429" stopIfTrue="1" operator="between">
      <formula>80.1</formula>
      <formula>100</formula>
    </cfRule>
    <cfRule type="cellIs" dxfId="12860" priority="430" stopIfTrue="1" operator="between">
      <formula>35.1</formula>
      <formula>80</formula>
    </cfRule>
    <cfRule type="cellIs" dxfId="12859" priority="431" stopIfTrue="1" operator="between">
      <formula>14.1</formula>
      <formula>35</formula>
    </cfRule>
    <cfRule type="cellIs" dxfId="12858" priority="432" stopIfTrue="1" operator="between">
      <formula>5.1</formula>
      <formula>14</formula>
    </cfRule>
    <cfRule type="cellIs" dxfId="12857" priority="433" stopIfTrue="1" operator="between">
      <formula>0</formula>
      <formula>5</formula>
    </cfRule>
    <cfRule type="containsBlanks" dxfId="12856" priority="434" stopIfTrue="1">
      <formula>LEN(TRIM(F140))=0</formula>
    </cfRule>
  </conditionalFormatting>
  <conditionalFormatting sqref="E137:J143">
    <cfRule type="containsBlanks" dxfId="12855" priority="421" stopIfTrue="1">
      <formula>LEN(TRIM(E137))=0</formula>
    </cfRule>
    <cfRule type="cellIs" dxfId="12854" priority="422" stopIfTrue="1" operator="between">
      <formula>80.1</formula>
      <formula>100</formula>
    </cfRule>
    <cfRule type="cellIs" dxfId="12853" priority="423" stopIfTrue="1" operator="between">
      <formula>35.1</formula>
      <formula>80</formula>
    </cfRule>
    <cfRule type="cellIs" dxfId="12852" priority="424" stopIfTrue="1" operator="between">
      <formula>14.1</formula>
      <formula>35</formula>
    </cfRule>
    <cfRule type="cellIs" dxfId="12851" priority="425" stopIfTrue="1" operator="between">
      <formula>5.1</formula>
      <formula>14</formula>
    </cfRule>
    <cfRule type="cellIs" dxfId="12850" priority="426" stopIfTrue="1" operator="between">
      <formula>0</formula>
      <formula>5</formula>
    </cfRule>
    <cfRule type="containsBlanks" dxfId="12849" priority="427" stopIfTrue="1">
      <formula>LEN(TRIM(E137))=0</formula>
    </cfRule>
  </conditionalFormatting>
  <conditionalFormatting sqref="K137:P143">
    <cfRule type="containsBlanks" dxfId="12848" priority="414" stopIfTrue="1">
      <formula>LEN(TRIM(K137))=0</formula>
    </cfRule>
    <cfRule type="cellIs" dxfId="12847" priority="415" stopIfTrue="1" operator="between">
      <formula>80.1</formula>
      <formula>100</formula>
    </cfRule>
    <cfRule type="cellIs" dxfId="12846" priority="416" stopIfTrue="1" operator="between">
      <formula>35.1</formula>
      <formula>80</formula>
    </cfRule>
    <cfRule type="cellIs" dxfId="12845" priority="417" stopIfTrue="1" operator="between">
      <formula>14.1</formula>
      <formula>35</formula>
    </cfRule>
    <cfRule type="cellIs" dxfId="12844" priority="418" stopIfTrue="1" operator="between">
      <formula>5.1</formula>
      <formula>14</formula>
    </cfRule>
    <cfRule type="cellIs" dxfId="12843" priority="419" stopIfTrue="1" operator="between">
      <formula>0</formula>
      <formula>5</formula>
    </cfRule>
    <cfRule type="containsBlanks" dxfId="12842" priority="420" stopIfTrue="1">
      <formula>LEN(TRIM(K137))=0</formula>
    </cfRule>
  </conditionalFormatting>
  <conditionalFormatting sqref="K137:P143">
    <cfRule type="containsBlanks" dxfId="12841" priority="407" stopIfTrue="1">
      <formula>LEN(TRIM(K137))=0</formula>
    </cfRule>
    <cfRule type="cellIs" dxfId="12840" priority="408" stopIfTrue="1" operator="between">
      <formula>80.1</formula>
      <formula>100</formula>
    </cfRule>
    <cfRule type="cellIs" dxfId="12839" priority="409" stopIfTrue="1" operator="between">
      <formula>35.1</formula>
      <formula>80</formula>
    </cfRule>
    <cfRule type="cellIs" dxfId="12838" priority="410" stopIfTrue="1" operator="between">
      <formula>14.1</formula>
      <formula>35</formula>
    </cfRule>
    <cfRule type="cellIs" dxfId="12837" priority="411" stopIfTrue="1" operator="between">
      <formula>5.1</formula>
      <formula>14</formula>
    </cfRule>
    <cfRule type="cellIs" dxfId="12836" priority="412" stopIfTrue="1" operator="between">
      <formula>0</formula>
      <formula>5</formula>
    </cfRule>
    <cfRule type="containsBlanks" dxfId="12835" priority="413" stopIfTrue="1">
      <formula>LEN(TRIM(K137))=0</formula>
    </cfRule>
  </conditionalFormatting>
  <conditionalFormatting sqref="I144:J144 Q144:Q150">
    <cfRule type="containsBlanks" dxfId="12834" priority="400" stopIfTrue="1">
      <formula>LEN(TRIM(I144))=0</formula>
    </cfRule>
    <cfRule type="cellIs" dxfId="12833" priority="401" stopIfTrue="1" operator="between">
      <formula>80.1</formula>
      <formula>100</formula>
    </cfRule>
    <cfRule type="cellIs" dxfId="12832" priority="402" stopIfTrue="1" operator="between">
      <formula>35.1</formula>
      <formula>80</formula>
    </cfRule>
    <cfRule type="cellIs" dxfId="12831" priority="403" stopIfTrue="1" operator="between">
      <formula>14.1</formula>
      <formula>35</formula>
    </cfRule>
    <cfRule type="cellIs" dxfId="12830" priority="404" stopIfTrue="1" operator="between">
      <formula>5.1</formula>
      <formula>14</formula>
    </cfRule>
    <cfRule type="cellIs" dxfId="12829" priority="405" stopIfTrue="1" operator="between">
      <formula>0</formula>
      <formula>5</formula>
    </cfRule>
    <cfRule type="containsBlanks" dxfId="12828" priority="406" stopIfTrue="1">
      <formula>LEN(TRIM(I144))=0</formula>
    </cfRule>
  </conditionalFormatting>
  <conditionalFormatting sqref="E144">
    <cfRule type="containsBlanks" dxfId="12827" priority="393" stopIfTrue="1">
      <formula>LEN(TRIM(E144))=0</formula>
    </cfRule>
    <cfRule type="cellIs" dxfId="12826" priority="394" stopIfTrue="1" operator="between">
      <formula>80.1</formula>
      <formula>100</formula>
    </cfRule>
    <cfRule type="cellIs" dxfId="12825" priority="395" stopIfTrue="1" operator="between">
      <formula>35.1</formula>
      <formula>80</formula>
    </cfRule>
    <cfRule type="cellIs" dxfId="12824" priority="396" stopIfTrue="1" operator="between">
      <formula>14.1</formula>
      <formula>35</formula>
    </cfRule>
    <cfRule type="cellIs" dxfId="12823" priority="397" stopIfTrue="1" operator="between">
      <formula>5.1</formula>
      <formula>14</formula>
    </cfRule>
    <cfRule type="cellIs" dxfId="12822" priority="398" stopIfTrue="1" operator="between">
      <formula>0</formula>
      <formula>5</formula>
    </cfRule>
    <cfRule type="containsBlanks" dxfId="12821" priority="399" stopIfTrue="1">
      <formula>LEN(TRIM(E144))=0</formula>
    </cfRule>
  </conditionalFormatting>
  <conditionalFormatting sqref="F144:H144">
    <cfRule type="containsBlanks" dxfId="12820" priority="386" stopIfTrue="1">
      <formula>LEN(TRIM(F144))=0</formula>
    </cfRule>
    <cfRule type="cellIs" dxfId="12819" priority="387" stopIfTrue="1" operator="between">
      <formula>80.1</formula>
      <formula>100</formula>
    </cfRule>
    <cfRule type="cellIs" dxfId="12818" priority="388" stopIfTrue="1" operator="between">
      <formula>35.1</formula>
      <formula>80</formula>
    </cfRule>
    <cfRule type="cellIs" dxfId="12817" priority="389" stopIfTrue="1" operator="between">
      <formula>14.1</formula>
      <formula>35</formula>
    </cfRule>
    <cfRule type="cellIs" dxfId="12816" priority="390" stopIfTrue="1" operator="between">
      <formula>5.1</formula>
      <formula>14</formula>
    </cfRule>
    <cfRule type="cellIs" dxfId="12815" priority="391" stopIfTrue="1" operator="between">
      <formula>0</formula>
      <formula>5</formula>
    </cfRule>
    <cfRule type="containsBlanks" dxfId="12814" priority="392" stopIfTrue="1">
      <formula>LEN(TRIM(F144))=0</formula>
    </cfRule>
  </conditionalFormatting>
  <conditionalFormatting sqref="E144:J150">
    <cfRule type="containsBlanks" dxfId="12813" priority="379" stopIfTrue="1">
      <formula>LEN(TRIM(E144))=0</formula>
    </cfRule>
    <cfRule type="cellIs" dxfId="12812" priority="380" stopIfTrue="1" operator="between">
      <formula>80.1</formula>
      <formula>100</formula>
    </cfRule>
    <cfRule type="cellIs" dxfId="12811" priority="381" stopIfTrue="1" operator="between">
      <formula>35.1</formula>
      <formula>80</formula>
    </cfRule>
    <cfRule type="cellIs" dxfId="12810" priority="382" stopIfTrue="1" operator="between">
      <formula>14.1</formula>
      <formula>35</formula>
    </cfRule>
    <cfRule type="cellIs" dxfId="12809" priority="383" stopIfTrue="1" operator="between">
      <formula>5.1</formula>
      <formula>14</formula>
    </cfRule>
    <cfRule type="cellIs" dxfId="12808" priority="384" stopIfTrue="1" operator="between">
      <formula>0</formula>
      <formula>5</formula>
    </cfRule>
    <cfRule type="containsBlanks" dxfId="12807" priority="385" stopIfTrue="1">
      <formula>LEN(TRIM(E144))=0</formula>
    </cfRule>
  </conditionalFormatting>
  <conditionalFormatting sqref="K144:P150">
    <cfRule type="containsBlanks" dxfId="12806" priority="372" stopIfTrue="1">
      <formula>LEN(TRIM(K144))=0</formula>
    </cfRule>
    <cfRule type="cellIs" dxfId="12805" priority="373" stopIfTrue="1" operator="between">
      <formula>80.1</formula>
      <formula>100</formula>
    </cfRule>
    <cfRule type="cellIs" dxfId="12804" priority="374" stopIfTrue="1" operator="between">
      <formula>35.1</formula>
      <formula>80</formula>
    </cfRule>
    <cfRule type="cellIs" dxfId="12803" priority="375" stopIfTrue="1" operator="between">
      <formula>14.1</formula>
      <formula>35</formula>
    </cfRule>
    <cfRule type="cellIs" dxfId="12802" priority="376" stopIfTrue="1" operator="between">
      <formula>5.1</formula>
      <formula>14</formula>
    </cfRule>
    <cfRule type="cellIs" dxfId="12801" priority="377" stopIfTrue="1" operator="between">
      <formula>0</formula>
      <formula>5</formula>
    </cfRule>
    <cfRule type="containsBlanks" dxfId="12800" priority="378" stopIfTrue="1">
      <formula>LEN(TRIM(K144))=0</formula>
    </cfRule>
  </conditionalFormatting>
  <conditionalFormatting sqref="K144:P150">
    <cfRule type="containsBlanks" dxfId="12799" priority="365" stopIfTrue="1">
      <formula>LEN(TRIM(K144))=0</formula>
    </cfRule>
    <cfRule type="cellIs" dxfId="12798" priority="366" stopIfTrue="1" operator="between">
      <formula>80.1</formula>
      <formula>100</formula>
    </cfRule>
    <cfRule type="cellIs" dxfId="12797" priority="367" stopIfTrue="1" operator="between">
      <formula>35.1</formula>
      <formula>80</formula>
    </cfRule>
    <cfRule type="cellIs" dxfId="12796" priority="368" stopIfTrue="1" operator="between">
      <formula>14.1</formula>
      <formula>35</formula>
    </cfRule>
    <cfRule type="cellIs" dxfId="12795" priority="369" stopIfTrue="1" operator="between">
      <formula>5.1</formula>
      <formula>14</formula>
    </cfRule>
    <cfRule type="cellIs" dxfId="12794" priority="370" stopIfTrue="1" operator="between">
      <formula>0</formula>
      <formula>5</formula>
    </cfRule>
    <cfRule type="containsBlanks" dxfId="12793" priority="371" stopIfTrue="1">
      <formula>LEN(TRIM(K144))=0</formula>
    </cfRule>
  </conditionalFormatting>
  <conditionalFormatting sqref="Q151:Q152">
    <cfRule type="containsBlanks" dxfId="12792" priority="358" stopIfTrue="1">
      <formula>LEN(TRIM(Q151))=0</formula>
    </cfRule>
    <cfRule type="cellIs" dxfId="12791" priority="359" stopIfTrue="1" operator="between">
      <formula>80.1</formula>
      <formula>100</formula>
    </cfRule>
    <cfRule type="cellIs" dxfId="12790" priority="360" stopIfTrue="1" operator="between">
      <formula>35.1</formula>
      <formula>80</formula>
    </cfRule>
    <cfRule type="cellIs" dxfId="12789" priority="361" stopIfTrue="1" operator="between">
      <formula>14.1</formula>
      <formula>35</formula>
    </cfRule>
    <cfRule type="cellIs" dxfId="12788" priority="362" stopIfTrue="1" operator="between">
      <formula>5.1</formula>
      <formula>14</formula>
    </cfRule>
    <cfRule type="cellIs" dxfId="12787" priority="363" stopIfTrue="1" operator="between">
      <formula>0</formula>
      <formula>5</formula>
    </cfRule>
    <cfRule type="containsBlanks" dxfId="12786" priority="364" stopIfTrue="1">
      <formula>LEN(TRIM(Q151))=0</formula>
    </cfRule>
  </conditionalFormatting>
  <conditionalFormatting sqref="E151:J152">
    <cfRule type="containsBlanks" dxfId="12785" priority="351" stopIfTrue="1">
      <formula>LEN(TRIM(E151))=0</formula>
    </cfRule>
    <cfRule type="cellIs" dxfId="12784" priority="352" stopIfTrue="1" operator="between">
      <formula>80.1</formula>
      <formula>100</formula>
    </cfRule>
    <cfRule type="cellIs" dxfId="12783" priority="353" stopIfTrue="1" operator="between">
      <formula>35.1</formula>
      <formula>80</formula>
    </cfRule>
    <cfRule type="cellIs" dxfId="12782" priority="354" stopIfTrue="1" operator="between">
      <formula>14.1</formula>
      <formula>35</formula>
    </cfRule>
    <cfRule type="cellIs" dxfId="12781" priority="355" stopIfTrue="1" operator="between">
      <formula>5.1</formula>
      <formula>14</formula>
    </cfRule>
    <cfRule type="cellIs" dxfId="12780" priority="356" stopIfTrue="1" operator="between">
      <formula>0</formula>
      <formula>5</formula>
    </cfRule>
    <cfRule type="containsBlanks" dxfId="12779" priority="357" stopIfTrue="1">
      <formula>LEN(TRIM(E151))=0</formula>
    </cfRule>
  </conditionalFormatting>
  <conditionalFormatting sqref="K151:P152">
    <cfRule type="containsBlanks" dxfId="12778" priority="344" stopIfTrue="1">
      <formula>LEN(TRIM(K151))=0</formula>
    </cfRule>
    <cfRule type="cellIs" dxfId="12777" priority="345" stopIfTrue="1" operator="between">
      <formula>80.1</formula>
      <formula>100</formula>
    </cfRule>
    <cfRule type="cellIs" dxfId="12776" priority="346" stopIfTrue="1" operator="between">
      <formula>35.1</formula>
      <formula>80</formula>
    </cfRule>
    <cfRule type="cellIs" dxfId="12775" priority="347" stopIfTrue="1" operator="between">
      <formula>14.1</formula>
      <formula>35</formula>
    </cfRule>
    <cfRule type="cellIs" dxfId="12774" priority="348" stopIfTrue="1" operator="between">
      <formula>5.1</formula>
      <formula>14</formula>
    </cfRule>
    <cfRule type="cellIs" dxfId="12773" priority="349" stopIfTrue="1" operator="between">
      <formula>0</formula>
      <formula>5</formula>
    </cfRule>
    <cfRule type="containsBlanks" dxfId="12772" priority="350" stopIfTrue="1">
      <formula>LEN(TRIM(K151))=0</formula>
    </cfRule>
  </conditionalFormatting>
  <conditionalFormatting sqref="K151:P152">
    <cfRule type="containsBlanks" dxfId="12771" priority="337" stopIfTrue="1">
      <formula>LEN(TRIM(K151))=0</formula>
    </cfRule>
    <cfRule type="cellIs" dxfId="12770" priority="338" stopIfTrue="1" operator="between">
      <formula>80.1</formula>
      <formula>100</formula>
    </cfRule>
    <cfRule type="cellIs" dxfId="12769" priority="339" stopIfTrue="1" operator="between">
      <formula>35.1</formula>
      <formula>80</formula>
    </cfRule>
    <cfRule type="cellIs" dxfId="12768" priority="340" stopIfTrue="1" operator="between">
      <formula>14.1</formula>
      <formula>35</formula>
    </cfRule>
    <cfRule type="cellIs" dxfId="12767" priority="341" stopIfTrue="1" operator="between">
      <formula>5.1</formula>
      <formula>14</formula>
    </cfRule>
    <cfRule type="cellIs" dxfId="12766" priority="342" stopIfTrue="1" operator="between">
      <formula>0</formula>
      <formula>5</formula>
    </cfRule>
    <cfRule type="containsBlanks" dxfId="12765" priority="343" stopIfTrue="1">
      <formula>LEN(TRIM(K151))=0</formula>
    </cfRule>
  </conditionalFormatting>
  <conditionalFormatting sqref="E153:J153">
    <cfRule type="containsBlanks" dxfId="12764" priority="330" stopIfTrue="1">
      <formula>LEN(TRIM(E153))=0</formula>
    </cfRule>
    <cfRule type="cellIs" dxfId="12763" priority="331" stopIfTrue="1" operator="between">
      <formula>80.1</formula>
      <formula>100</formula>
    </cfRule>
    <cfRule type="cellIs" dxfId="12762" priority="332" stopIfTrue="1" operator="between">
      <formula>35.1</formula>
      <formula>80</formula>
    </cfRule>
    <cfRule type="cellIs" dxfId="12761" priority="333" stopIfTrue="1" operator="between">
      <formula>14.1</formula>
      <formula>35</formula>
    </cfRule>
    <cfRule type="cellIs" dxfId="12760" priority="334" stopIfTrue="1" operator="between">
      <formula>5.1</formula>
      <formula>14</formula>
    </cfRule>
    <cfRule type="cellIs" dxfId="12759" priority="335" stopIfTrue="1" operator="between">
      <formula>0</formula>
      <formula>5</formula>
    </cfRule>
    <cfRule type="containsBlanks" dxfId="12758" priority="336" stopIfTrue="1">
      <formula>LEN(TRIM(E153))=0</formula>
    </cfRule>
  </conditionalFormatting>
  <conditionalFormatting sqref="K153:P153">
    <cfRule type="containsBlanks" dxfId="12757" priority="323" stopIfTrue="1">
      <formula>LEN(TRIM(K153))=0</formula>
    </cfRule>
    <cfRule type="cellIs" dxfId="12756" priority="324" stopIfTrue="1" operator="between">
      <formula>80.1</formula>
      <formula>100</formula>
    </cfRule>
    <cfRule type="cellIs" dxfId="12755" priority="325" stopIfTrue="1" operator="between">
      <formula>35.1</formula>
      <formula>80</formula>
    </cfRule>
    <cfRule type="cellIs" dxfId="12754" priority="326" stopIfTrue="1" operator="between">
      <formula>14.1</formula>
      <formula>35</formula>
    </cfRule>
    <cfRule type="cellIs" dxfId="12753" priority="327" stopIfTrue="1" operator="between">
      <formula>5.1</formula>
      <formula>14</formula>
    </cfRule>
    <cfRule type="cellIs" dxfId="12752" priority="328" stopIfTrue="1" operator="between">
      <formula>0</formula>
      <formula>5</formula>
    </cfRule>
    <cfRule type="containsBlanks" dxfId="12751" priority="329" stopIfTrue="1">
      <formula>LEN(TRIM(K153))=0</formula>
    </cfRule>
  </conditionalFormatting>
  <conditionalFormatting sqref="K153:P153">
    <cfRule type="containsBlanks" dxfId="12750" priority="316" stopIfTrue="1">
      <formula>LEN(TRIM(K153))=0</formula>
    </cfRule>
    <cfRule type="cellIs" dxfId="12749" priority="317" stopIfTrue="1" operator="between">
      <formula>80.1</formula>
      <formula>100</formula>
    </cfRule>
    <cfRule type="cellIs" dxfId="12748" priority="318" stopIfTrue="1" operator="between">
      <formula>35.1</formula>
      <formula>80</formula>
    </cfRule>
    <cfRule type="cellIs" dxfId="12747" priority="319" stopIfTrue="1" operator="between">
      <formula>14.1</formula>
      <formula>35</formula>
    </cfRule>
    <cfRule type="cellIs" dxfId="12746" priority="320" stopIfTrue="1" operator="between">
      <formula>5.1</formula>
      <formula>14</formula>
    </cfRule>
    <cfRule type="cellIs" dxfId="12745" priority="321" stopIfTrue="1" operator="between">
      <formula>0</formula>
      <formula>5</formula>
    </cfRule>
    <cfRule type="containsBlanks" dxfId="12744" priority="322" stopIfTrue="1">
      <formula>LEN(TRIM(K153))=0</formula>
    </cfRule>
  </conditionalFormatting>
  <conditionalFormatting sqref="E154:J155">
    <cfRule type="containsBlanks" dxfId="12743" priority="309" stopIfTrue="1">
      <formula>LEN(TRIM(E154))=0</formula>
    </cfRule>
    <cfRule type="cellIs" dxfId="12742" priority="310" stopIfTrue="1" operator="between">
      <formula>80.1</formula>
      <formula>100</formula>
    </cfRule>
    <cfRule type="cellIs" dxfId="12741" priority="311" stopIfTrue="1" operator="between">
      <formula>35.1</formula>
      <formula>80</formula>
    </cfRule>
    <cfRule type="cellIs" dxfId="12740" priority="312" stopIfTrue="1" operator="between">
      <formula>14.1</formula>
      <formula>35</formula>
    </cfRule>
    <cfRule type="cellIs" dxfId="12739" priority="313" stopIfTrue="1" operator="between">
      <formula>5.1</formula>
      <formula>14</formula>
    </cfRule>
    <cfRule type="cellIs" dxfId="12738" priority="314" stopIfTrue="1" operator="between">
      <formula>0</formula>
      <formula>5</formula>
    </cfRule>
    <cfRule type="containsBlanks" dxfId="12737" priority="315" stopIfTrue="1">
      <formula>LEN(TRIM(E154))=0</formula>
    </cfRule>
  </conditionalFormatting>
  <conditionalFormatting sqref="K154:P155">
    <cfRule type="containsBlanks" dxfId="12736" priority="302" stopIfTrue="1">
      <formula>LEN(TRIM(K154))=0</formula>
    </cfRule>
    <cfRule type="cellIs" dxfId="12735" priority="303" stopIfTrue="1" operator="between">
      <formula>80.1</formula>
      <formula>100</formula>
    </cfRule>
    <cfRule type="cellIs" dxfId="12734" priority="304" stopIfTrue="1" operator="between">
      <formula>35.1</formula>
      <formula>80</formula>
    </cfRule>
    <cfRule type="cellIs" dxfId="12733" priority="305" stopIfTrue="1" operator="between">
      <formula>14.1</formula>
      <formula>35</formula>
    </cfRule>
    <cfRule type="cellIs" dxfId="12732" priority="306" stopIfTrue="1" operator="between">
      <formula>5.1</formula>
      <formula>14</formula>
    </cfRule>
    <cfRule type="cellIs" dxfId="12731" priority="307" stopIfTrue="1" operator="between">
      <formula>0</formula>
      <formula>5</formula>
    </cfRule>
    <cfRule type="containsBlanks" dxfId="12730" priority="308" stopIfTrue="1">
      <formula>LEN(TRIM(K154))=0</formula>
    </cfRule>
  </conditionalFormatting>
  <conditionalFormatting sqref="K154:P155">
    <cfRule type="containsBlanks" dxfId="12729" priority="295" stopIfTrue="1">
      <formula>LEN(TRIM(K154))=0</formula>
    </cfRule>
    <cfRule type="cellIs" dxfId="12728" priority="296" stopIfTrue="1" operator="between">
      <formula>80.1</formula>
      <formula>100</formula>
    </cfRule>
    <cfRule type="cellIs" dxfId="12727" priority="297" stopIfTrue="1" operator="between">
      <formula>35.1</formula>
      <formula>80</formula>
    </cfRule>
    <cfRule type="cellIs" dxfId="12726" priority="298" stopIfTrue="1" operator="between">
      <formula>14.1</formula>
      <formula>35</formula>
    </cfRule>
    <cfRule type="cellIs" dxfId="12725" priority="299" stopIfTrue="1" operator="between">
      <formula>5.1</formula>
      <formula>14</formula>
    </cfRule>
    <cfRule type="cellIs" dxfId="12724" priority="300" stopIfTrue="1" operator="between">
      <formula>0</formula>
      <formula>5</formula>
    </cfRule>
    <cfRule type="containsBlanks" dxfId="12723" priority="301" stopIfTrue="1">
      <formula>LEN(TRIM(K154))=0</formula>
    </cfRule>
  </conditionalFormatting>
  <conditionalFormatting sqref="E156:J161">
    <cfRule type="containsBlanks" dxfId="12722" priority="288" stopIfTrue="1">
      <formula>LEN(TRIM(E156))=0</formula>
    </cfRule>
    <cfRule type="cellIs" dxfId="12721" priority="289" stopIfTrue="1" operator="between">
      <formula>80.1</formula>
      <formula>100</formula>
    </cfRule>
    <cfRule type="cellIs" dxfId="12720" priority="290" stopIfTrue="1" operator="between">
      <formula>35.1</formula>
      <formula>80</formula>
    </cfRule>
    <cfRule type="cellIs" dxfId="12719" priority="291" stopIfTrue="1" operator="between">
      <formula>14.1</formula>
      <formula>35</formula>
    </cfRule>
    <cfRule type="cellIs" dxfId="12718" priority="292" stopIfTrue="1" operator="between">
      <formula>5.1</formula>
      <formula>14</formula>
    </cfRule>
    <cfRule type="cellIs" dxfId="12717" priority="293" stopIfTrue="1" operator="between">
      <formula>0</formula>
      <formula>5</formula>
    </cfRule>
    <cfRule type="containsBlanks" dxfId="12716" priority="294" stopIfTrue="1">
      <formula>LEN(TRIM(E156))=0</formula>
    </cfRule>
  </conditionalFormatting>
  <conditionalFormatting sqref="K156:P161">
    <cfRule type="containsBlanks" dxfId="12715" priority="281" stopIfTrue="1">
      <formula>LEN(TRIM(K156))=0</formula>
    </cfRule>
    <cfRule type="cellIs" dxfId="12714" priority="282" stopIfTrue="1" operator="between">
      <formula>80.1</formula>
      <formula>100</formula>
    </cfRule>
    <cfRule type="cellIs" dxfId="12713" priority="283" stopIfTrue="1" operator="between">
      <formula>35.1</formula>
      <formula>80</formula>
    </cfRule>
    <cfRule type="cellIs" dxfId="12712" priority="284" stopIfTrue="1" operator="between">
      <formula>14.1</formula>
      <formula>35</formula>
    </cfRule>
    <cfRule type="cellIs" dxfId="12711" priority="285" stopIfTrue="1" operator="between">
      <formula>5.1</formula>
      <formula>14</formula>
    </cfRule>
    <cfRule type="cellIs" dxfId="12710" priority="286" stopIfTrue="1" operator="between">
      <formula>0</formula>
      <formula>5</formula>
    </cfRule>
    <cfRule type="containsBlanks" dxfId="12709" priority="287" stopIfTrue="1">
      <formula>LEN(TRIM(K156))=0</formula>
    </cfRule>
  </conditionalFormatting>
  <conditionalFormatting sqref="K156:P161">
    <cfRule type="containsBlanks" dxfId="12708" priority="274" stopIfTrue="1">
      <formula>LEN(TRIM(K156))=0</formula>
    </cfRule>
    <cfRule type="cellIs" dxfId="12707" priority="275" stopIfTrue="1" operator="between">
      <formula>80.1</formula>
      <formula>100</formula>
    </cfRule>
    <cfRule type="cellIs" dxfId="12706" priority="276" stopIfTrue="1" operator="between">
      <formula>35.1</formula>
      <formula>80</formula>
    </cfRule>
    <cfRule type="cellIs" dxfId="12705" priority="277" stopIfTrue="1" operator="between">
      <formula>14.1</formula>
      <formula>35</formula>
    </cfRule>
    <cfRule type="cellIs" dxfId="12704" priority="278" stopIfTrue="1" operator="between">
      <formula>5.1</formula>
      <formula>14</formula>
    </cfRule>
    <cfRule type="cellIs" dxfId="12703" priority="279" stopIfTrue="1" operator="between">
      <formula>0</formula>
      <formula>5</formula>
    </cfRule>
    <cfRule type="containsBlanks" dxfId="12702" priority="280" stopIfTrue="1">
      <formula>LEN(TRIM(K156))=0</formula>
    </cfRule>
  </conditionalFormatting>
  <conditionalFormatting sqref="E204:Q204">
    <cfRule type="containsBlanks" dxfId="12701" priority="267" stopIfTrue="1">
      <formula>LEN(TRIM(E204))=0</formula>
    </cfRule>
    <cfRule type="cellIs" dxfId="12700" priority="268" stopIfTrue="1" operator="between">
      <formula>80.1</formula>
      <formula>100</formula>
    </cfRule>
    <cfRule type="cellIs" dxfId="12699" priority="269" stopIfTrue="1" operator="between">
      <formula>35.1</formula>
      <formula>80</formula>
    </cfRule>
    <cfRule type="cellIs" dxfId="12698" priority="270" stopIfTrue="1" operator="between">
      <formula>14.1</formula>
      <formula>35</formula>
    </cfRule>
    <cfRule type="cellIs" dxfId="12697" priority="271" stopIfTrue="1" operator="between">
      <formula>5.1</formula>
      <formula>14</formula>
    </cfRule>
    <cfRule type="cellIs" dxfId="12696" priority="272" stopIfTrue="1" operator="between">
      <formula>0</formula>
      <formula>5</formula>
    </cfRule>
    <cfRule type="containsBlanks" dxfId="12695" priority="273" stopIfTrue="1">
      <formula>LEN(TRIM(E204))=0</formula>
    </cfRule>
  </conditionalFormatting>
  <conditionalFormatting sqref="E205:Q205">
    <cfRule type="containsBlanks" dxfId="12694" priority="260" stopIfTrue="1">
      <formula>LEN(TRIM(E205))=0</formula>
    </cfRule>
    <cfRule type="cellIs" dxfId="12693" priority="261" stopIfTrue="1" operator="between">
      <formula>80.1</formula>
      <formula>100</formula>
    </cfRule>
    <cfRule type="cellIs" dxfId="12692" priority="262" stopIfTrue="1" operator="between">
      <formula>35.1</formula>
      <formula>80</formula>
    </cfRule>
    <cfRule type="cellIs" dxfId="12691" priority="263" stopIfTrue="1" operator="between">
      <formula>14.1</formula>
      <formula>35</formula>
    </cfRule>
    <cfRule type="cellIs" dxfId="12690" priority="264" stopIfTrue="1" operator="between">
      <formula>5.1</formula>
      <formula>14</formula>
    </cfRule>
    <cfRule type="cellIs" dxfId="12689" priority="265" stopIfTrue="1" operator="between">
      <formula>0</formula>
      <formula>5</formula>
    </cfRule>
    <cfRule type="containsBlanks" dxfId="12688" priority="266" stopIfTrue="1">
      <formula>LEN(TRIM(E205))=0</formula>
    </cfRule>
  </conditionalFormatting>
  <conditionalFormatting sqref="E206:Q206">
    <cfRule type="containsBlanks" dxfId="12687" priority="253" stopIfTrue="1">
      <formula>LEN(TRIM(E206))=0</formula>
    </cfRule>
    <cfRule type="cellIs" dxfId="12686" priority="254" stopIfTrue="1" operator="between">
      <formula>80.1</formula>
      <formula>100</formula>
    </cfRule>
    <cfRule type="cellIs" dxfId="12685" priority="255" stopIfTrue="1" operator="between">
      <formula>35.1</formula>
      <formula>80</formula>
    </cfRule>
    <cfRule type="cellIs" dxfId="12684" priority="256" stopIfTrue="1" operator="between">
      <formula>14.1</formula>
      <formula>35</formula>
    </cfRule>
    <cfRule type="cellIs" dxfId="12683" priority="257" stopIfTrue="1" operator="between">
      <formula>5.1</formula>
      <formula>14</formula>
    </cfRule>
    <cfRule type="cellIs" dxfId="12682" priority="258" stopIfTrue="1" operator="between">
      <formula>0</formula>
      <formula>5</formula>
    </cfRule>
    <cfRule type="containsBlanks" dxfId="12681" priority="259" stopIfTrue="1">
      <formula>LEN(TRIM(E206))=0</formula>
    </cfRule>
  </conditionalFormatting>
  <conditionalFormatting sqref="E207:Q207">
    <cfRule type="containsBlanks" dxfId="12680" priority="246" stopIfTrue="1">
      <formula>LEN(TRIM(E207))=0</formula>
    </cfRule>
    <cfRule type="cellIs" dxfId="12679" priority="247" stopIfTrue="1" operator="between">
      <formula>80.1</formula>
      <formula>100</formula>
    </cfRule>
    <cfRule type="cellIs" dxfId="12678" priority="248" stopIfTrue="1" operator="between">
      <formula>35.1</formula>
      <formula>80</formula>
    </cfRule>
    <cfRule type="cellIs" dxfId="12677" priority="249" stopIfTrue="1" operator="between">
      <formula>14.1</formula>
      <formula>35</formula>
    </cfRule>
    <cfRule type="cellIs" dxfId="12676" priority="250" stopIfTrue="1" operator="between">
      <formula>5.1</formula>
      <formula>14</formula>
    </cfRule>
    <cfRule type="cellIs" dxfId="12675" priority="251" stopIfTrue="1" operator="between">
      <formula>0</formula>
      <formula>5</formula>
    </cfRule>
    <cfRule type="containsBlanks" dxfId="12674" priority="252" stopIfTrue="1">
      <formula>LEN(TRIM(E207))=0</formula>
    </cfRule>
  </conditionalFormatting>
  <conditionalFormatting sqref="E209:Q209">
    <cfRule type="containsBlanks" dxfId="12673" priority="239" stopIfTrue="1">
      <formula>LEN(TRIM(E209))=0</formula>
    </cfRule>
    <cfRule type="cellIs" dxfId="12672" priority="240" stopIfTrue="1" operator="between">
      <formula>80.1</formula>
      <formula>100</formula>
    </cfRule>
    <cfRule type="cellIs" dxfId="12671" priority="241" stopIfTrue="1" operator="between">
      <formula>35.1</formula>
      <formula>80</formula>
    </cfRule>
    <cfRule type="cellIs" dxfId="12670" priority="242" stopIfTrue="1" operator="between">
      <formula>14.1</formula>
      <formula>35</formula>
    </cfRule>
    <cfRule type="cellIs" dxfId="12669" priority="243" stopIfTrue="1" operator="between">
      <formula>5.1</formula>
      <formula>14</formula>
    </cfRule>
    <cfRule type="cellIs" dxfId="12668" priority="244" stopIfTrue="1" operator="between">
      <formula>0</formula>
      <formula>5</formula>
    </cfRule>
    <cfRule type="containsBlanks" dxfId="12667" priority="245" stopIfTrue="1">
      <formula>LEN(TRIM(E209))=0</formula>
    </cfRule>
  </conditionalFormatting>
  <conditionalFormatting sqref="E210:Q210">
    <cfRule type="containsBlanks" dxfId="12666" priority="232" stopIfTrue="1">
      <formula>LEN(TRIM(E210))=0</formula>
    </cfRule>
    <cfRule type="cellIs" dxfId="12665" priority="233" stopIfTrue="1" operator="between">
      <formula>80.1</formula>
      <formula>100</formula>
    </cfRule>
    <cfRule type="cellIs" dxfId="12664" priority="234" stopIfTrue="1" operator="between">
      <formula>35.1</formula>
      <formula>80</formula>
    </cfRule>
    <cfRule type="cellIs" dxfId="12663" priority="235" stopIfTrue="1" operator="between">
      <formula>14.1</formula>
      <formula>35</formula>
    </cfRule>
    <cfRule type="cellIs" dxfId="12662" priority="236" stopIfTrue="1" operator="between">
      <formula>5.1</formula>
      <formula>14</formula>
    </cfRule>
    <cfRule type="cellIs" dxfId="12661" priority="237" stopIfTrue="1" operator="between">
      <formula>0</formula>
      <formula>5</formula>
    </cfRule>
    <cfRule type="containsBlanks" dxfId="12660" priority="238" stopIfTrue="1">
      <formula>LEN(TRIM(E210))=0</formula>
    </cfRule>
  </conditionalFormatting>
  <conditionalFormatting sqref="E208:Q208">
    <cfRule type="containsBlanks" dxfId="12659" priority="225" stopIfTrue="1">
      <formula>LEN(TRIM(E208))=0</formula>
    </cfRule>
    <cfRule type="cellIs" dxfId="12658" priority="226" stopIfTrue="1" operator="between">
      <formula>80.1</formula>
      <formula>100</formula>
    </cfRule>
    <cfRule type="cellIs" dxfId="12657" priority="227" stopIfTrue="1" operator="between">
      <formula>35.1</formula>
      <formula>80</formula>
    </cfRule>
    <cfRule type="cellIs" dxfId="12656" priority="228" stopIfTrue="1" operator="between">
      <formula>14.1</formula>
      <formula>35</formula>
    </cfRule>
    <cfRule type="cellIs" dxfId="12655" priority="229" stopIfTrue="1" operator="between">
      <formula>5.1</formula>
      <formula>14</formula>
    </cfRule>
    <cfRule type="cellIs" dxfId="12654" priority="230" stopIfTrue="1" operator="between">
      <formula>0</formula>
      <formula>5</formula>
    </cfRule>
    <cfRule type="containsBlanks" dxfId="12653" priority="231" stopIfTrue="1">
      <formula>LEN(TRIM(E208))=0</formula>
    </cfRule>
  </conditionalFormatting>
  <conditionalFormatting sqref="E163:J168 K163:K169 M163:P169">
    <cfRule type="containsBlanks" dxfId="12652" priority="204" stopIfTrue="1">
      <formula>LEN(TRIM(E163))=0</formula>
    </cfRule>
    <cfRule type="cellIs" dxfId="12651" priority="205" stopIfTrue="1" operator="between">
      <formula>14.1</formula>
      <formula>35</formula>
    </cfRule>
    <cfRule type="cellIs" dxfId="12650" priority="206" stopIfTrue="1" operator="between">
      <formula>5.1</formula>
      <formula>14</formula>
    </cfRule>
    <cfRule type="cellIs" dxfId="12649" priority="207" stopIfTrue="1" operator="between">
      <formula>0</formula>
      <formula>5</formula>
    </cfRule>
    <cfRule type="containsBlanks" dxfId="12648" priority="208" stopIfTrue="1">
      <formula>LEN(TRIM(E163))=0</formula>
    </cfRule>
  </conditionalFormatting>
  <conditionalFormatting sqref="I169">
    <cfRule type="containsBlanks" dxfId="12647" priority="216" stopIfTrue="1">
      <formula>LEN(TRIM(I169))=0</formula>
    </cfRule>
    <cfRule type="cellIs" dxfId="12646" priority="217" stopIfTrue="1" operator="between">
      <formula>80.1</formula>
      <formula>100</formula>
    </cfRule>
    <cfRule type="cellIs" dxfId="12645" priority="218" stopIfTrue="1" operator="between">
      <formula>35.1</formula>
      <formula>80</formula>
    </cfRule>
    <cfRule type="cellIs" dxfId="12644" priority="219" stopIfTrue="1" operator="between">
      <formula>14.1</formula>
      <formula>35</formula>
    </cfRule>
    <cfRule type="cellIs" dxfId="12643" priority="220" stopIfTrue="1" operator="between">
      <formula>5.1</formula>
      <formula>14</formula>
    </cfRule>
    <cfRule type="cellIs" dxfId="12642" priority="221" stopIfTrue="1" operator="between">
      <formula>0</formula>
      <formula>5</formula>
    </cfRule>
    <cfRule type="containsBlanks" dxfId="12641" priority="222" stopIfTrue="1">
      <formula>LEN(TRIM(I169))=0</formula>
    </cfRule>
  </conditionalFormatting>
  <conditionalFormatting sqref="E169:H169">
    <cfRule type="containsBlanks" dxfId="12640" priority="209" stopIfTrue="1">
      <formula>LEN(TRIM(E169))=0</formula>
    </cfRule>
    <cfRule type="cellIs" dxfId="12639" priority="210" stopIfTrue="1" operator="between">
      <formula>80.1</formula>
      <formula>100</formula>
    </cfRule>
    <cfRule type="cellIs" dxfId="12638" priority="211" stopIfTrue="1" operator="between">
      <formula>35.1</formula>
      <formula>80</formula>
    </cfRule>
    <cfRule type="cellIs" dxfId="12637" priority="212" stopIfTrue="1" operator="between">
      <formula>14.1</formula>
      <formula>35</formula>
    </cfRule>
    <cfRule type="cellIs" dxfId="12636" priority="213" stopIfTrue="1" operator="between">
      <formula>5.1</formula>
      <formula>14</formula>
    </cfRule>
    <cfRule type="cellIs" dxfId="12635" priority="214" stopIfTrue="1" operator="between">
      <formula>0</formula>
      <formula>5</formula>
    </cfRule>
    <cfRule type="containsBlanks" dxfId="12634" priority="215" stopIfTrue="1">
      <formula>LEN(TRIM(E169))=0</formula>
    </cfRule>
  </conditionalFormatting>
  <conditionalFormatting sqref="E201:P201">
    <cfRule type="containsBlanks" dxfId="12633" priority="197" stopIfTrue="1">
      <formula>LEN(TRIM(E201))=0</formula>
    </cfRule>
    <cfRule type="cellIs" dxfId="12632" priority="198" stopIfTrue="1" operator="between">
      <formula>80.1</formula>
      <formula>100</formula>
    </cfRule>
    <cfRule type="cellIs" dxfId="12631" priority="199" stopIfTrue="1" operator="between">
      <formula>35.1</formula>
      <formula>80</formula>
    </cfRule>
    <cfRule type="cellIs" dxfId="12630" priority="200" stopIfTrue="1" operator="between">
      <formula>14.1</formula>
      <formula>35</formula>
    </cfRule>
    <cfRule type="cellIs" dxfId="12629" priority="201" stopIfTrue="1" operator="between">
      <formula>5.1</formula>
      <formula>14</formula>
    </cfRule>
    <cfRule type="cellIs" dxfId="12628" priority="202" stopIfTrue="1" operator="between">
      <formula>0</formula>
      <formula>5</formula>
    </cfRule>
    <cfRule type="containsBlanks" dxfId="12627" priority="203" stopIfTrue="1">
      <formula>LEN(TRIM(E201))=0</formula>
    </cfRule>
  </conditionalFormatting>
  <conditionalFormatting sqref="E189:F189 H189:P189">
    <cfRule type="containsBlanks" dxfId="12626" priority="190" stopIfTrue="1">
      <formula>LEN(TRIM(E189))=0</formula>
    </cfRule>
    <cfRule type="cellIs" dxfId="12625" priority="191" stopIfTrue="1" operator="between">
      <formula>80.1</formula>
      <formula>100</formula>
    </cfRule>
    <cfRule type="cellIs" dxfId="12624" priority="192" stopIfTrue="1" operator="between">
      <formula>35.1</formula>
      <formula>80</formula>
    </cfRule>
    <cfRule type="cellIs" dxfId="12623" priority="193" stopIfTrue="1" operator="between">
      <formula>14.1</formula>
      <formula>35</formula>
    </cfRule>
    <cfRule type="cellIs" dxfId="12622" priority="194" stopIfTrue="1" operator="between">
      <formula>5.1</formula>
      <formula>14</formula>
    </cfRule>
    <cfRule type="cellIs" dxfId="12621" priority="195" stopIfTrue="1" operator="between">
      <formula>0</formula>
      <formula>5</formula>
    </cfRule>
    <cfRule type="containsBlanks" dxfId="12620" priority="196" stopIfTrue="1">
      <formula>LEN(TRIM(E189))=0</formula>
    </cfRule>
  </conditionalFormatting>
  <conditionalFormatting sqref="G189">
    <cfRule type="containsBlanks" dxfId="12619" priority="183" stopIfTrue="1">
      <formula>LEN(TRIM(G189))=0</formula>
    </cfRule>
    <cfRule type="cellIs" dxfId="12618" priority="184" stopIfTrue="1" operator="between">
      <formula>80.1</formula>
      <formula>100</formula>
    </cfRule>
    <cfRule type="cellIs" dxfId="12617" priority="185" stopIfTrue="1" operator="between">
      <formula>35.1</formula>
      <formula>80</formula>
    </cfRule>
    <cfRule type="cellIs" dxfId="12616" priority="186" stopIfTrue="1" operator="between">
      <formula>14.1</formula>
      <formula>35</formula>
    </cfRule>
    <cfRule type="cellIs" dxfId="12615" priority="187" stopIfTrue="1" operator="between">
      <formula>5.1</formula>
      <formula>14</formula>
    </cfRule>
    <cfRule type="cellIs" dxfId="12614" priority="188" stopIfTrue="1" operator="between">
      <formula>0</formula>
      <formula>5</formula>
    </cfRule>
    <cfRule type="containsBlanks" dxfId="12613" priority="189" stopIfTrue="1">
      <formula>LEN(TRIM(G189))=0</formula>
    </cfRule>
  </conditionalFormatting>
  <conditionalFormatting sqref="E190 H190:P190">
    <cfRule type="containsBlanks" dxfId="12612" priority="176" stopIfTrue="1">
      <formula>LEN(TRIM(E190))=0</formula>
    </cfRule>
    <cfRule type="cellIs" dxfId="12611" priority="177" stopIfTrue="1" operator="between">
      <formula>80.1</formula>
      <formula>100</formula>
    </cfRule>
    <cfRule type="cellIs" dxfId="12610" priority="178" stopIfTrue="1" operator="between">
      <formula>35.1</formula>
      <formula>80</formula>
    </cfRule>
    <cfRule type="cellIs" dxfId="12609" priority="179" stopIfTrue="1" operator="between">
      <formula>14.1</formula>
      <formula>35</formula>
    </cfRule>
    <cfRule type="cellIs" dxfId="12608" priority="180" stopIfTrue="1" operator="between">
      <formula>5.1</formula>
      <formula>14</formula>
    </cfRule>
    <cfRule type="cellIs" dxfId="12607" priority="181" stopIfTrue="1" operator="between">
      <formula>0</formula>
      <formula>5</formula>
    </cfRule>
    <cfRule type="containsBlanks" dxfId="12606" priority="182" stopIfTrue="1">
      <formula>LEN(TRIM(E190))=0</formula>
    </cfRule>
  </conditionalFormatting>
  <conditionalFormatting sqref="E193:P193">
    <cfRule type="containsBlanks" dxfId="12605" priority="169" stopIfTrue="1">
      <formula>LEN(TRIM(E193))=0</formula>
    </cfRule>
    <cfRule type="cellIs" dxfId="12604" priority="170" stopIfTrue="1" operator="between">
      <formula>80.1</formula>
      <formula>100</formula>
    </cfRule>
    <cfRule type="cellIs" dxfId="12603" priority="171" stopIfTrue="1" operator="between">
      <formula>35.1</formula>
      <formula>80</formula>
    </cfRule>
    <cfRule type="cellIs" dxfId="12602" priority="172" stopIfTrue="1" operator="between">
      <formula>14.1</formula>
      <formula>35</formula>
    </cfRule>
    <cfRule type="cellIs" dxfId="12601" priority="173" stopIfTrue="1" operator="between">
      <formula>5.1</formula>
      <formula>14</formula>
    </cfRule>
    <cfRule type="cellIs" dxfId="12600" priority="174" stopIfTrue="1" operator="between">
      <formula>0</formula>
      <formula>5</formula>
    </cfRule>
    <cfRule type="containsBlanks" dxfId="12599" priority="175" stopIfTrue="1">
      <formula>LEN(TRIM(E193))=0</formula>
    </cfRule>
  </conditionalFormatting>
  <conditionalFormatting sqref="E199:P199">
    <cfRule type="containsBlanks" dxfId="12598" priority="162" stopIfTrue="1">
      <formula>LEN(TRIM(E199))=0</formula>
    </cfRule>
    <cfRule type="cellIs" dxfId="12597" priority="163" stopIfTrue="1" operator="between">
      <formula>80.1</formula>
      <formula>100</formula>
    </cfRule>
    <cfRule type="cellIs" dxfId="12596" priority="164" stopIfTrue="1" operator="between">
      <formula>35.1</formula>
      <formula>80</formula>
    </cfRule>
    <cfRule type="cellIs" dxfId="12595" priority="165" stopIfTrue="1" operator="between">
      <formula>14.1</formula>
      <formula>35</formula>
    </cfRule>
    <cfRule type="cellIs" dxfId="12594" priority="166" stopIfTrue="1" operator="between">
      <formula>5.1</formula>
      <formula>14</formula>
    </cfRule>
    <cfRule type="cellIs" dxfId="12593" priority="167" stopIfTrue="1" operator="between">
      <formula>0</formula>
      <formula>5</formula>
    </cfRule>
    <cfRule type="containsBlanks" dxfId="12592" priority="168" stopIfTrue="1">
      <formula>LEN(TRIM(E199))=0</formula>
    </cfRule>
  </conditionalFormatting>
  <conditionalFormatting sqref="E200:P200">
    <cfRule type="containsBlanks" dxfId="12591" priority="155" stopIfTrue="1">
      <formula>LEN(TRIM(E200))=0</formula>
    </cfRule>
    <cfRule type="cellIs" dxfId="12590" priority="156" stopIfTrue="1" operator="between">
      <formula>80.1</formula>
      <formula>100</formula>
    </cfRule>
    <cfRule type="cellIs" dxfId="12589" priority="157" stopIfTrue="1" operator="between">
      <formula>35.1</formula>
      <formula>80</formula>
    </cfRule>
    <cfRule type="cellIs" dxfId="12588" priority="158" stopIfTrue="1" operator="between">
      <formula>14.1</formula>
      <formula>35</formula>
    </cfRule>
    <cfRule type="cellIs" dxfId="12587" priority="159" stopIfTrue="1" operator="between">
      <formula>5.1</formula>
      <formula>14</formula>
    </cfRule>
    <cfRule type="cellIs" dxfId="12586" priority="160" stopIfTrue="1" operator="between">
      <formula>0</formula>
      <formula>5</formula>
    </cfRule>
    <cfRule type="containsBlanks" dxfId="12585" priority="161" stopIfTrue="1">
      <formula>LEN(TRIM(E200))=0</formula>
    </cfRule>
  </conditionalFormatting>
  <conditionalFormatting sqref="E202:P202">
    <cfRule type="containsBlanks" dxfId="12584" priority="148" stopIfTrue="1">
      <formula>LEN(TRIM(E202))=0</formula>
    </cfRule>
    <cfRule type="cellIs" dxfId="12583" priority="149" stopIfTrue="1" operator="between">
      <formula>80.1</formula>
      <formula>100</formula>
    </cfRule>
    <cfRule type="cellIs" dxfId="12582" priority="150" stopIfTrue="1" operator="between">
      <formula>35.1</formula>
      <formula>80</formula>
    </cfRule>
    <cfRule type="cellIs" dxfId="12581" priority="151" stopIfTrue="1" operator="between">
      <formula>14.1</formula>
      <formula>35</formula>
    </cfRule>
    <cfRule type="cellIs" dxfId="12580" priority="152" stopIfTrue="1" operator="between">
      <formula>5.1</formula>
      <formula>14</formula>
    </cfRule>
    <cfRule type="cellIs" dxfId="12579" priority="153" stopIfTrue="1" operator="between">
      <formula>0</formula>
      <formula>5</formula>
    </cfRule>
    <cfRule type="containsBlanks" dxfId="12578" priority="154" stopIfTrue="1">
      <formula>LEN(TRIM(E202))=0</formula>
    </cfRule>
  </conditionalFormatting>
  <conditionalFormatting sqref="E185:P185">
    <cfRule type="containsBlanks" dxfId="12577" priority="141" stopIfTrue="1">
      <formula>LEN(TRIM(E185))=0</formula>
    </cfRule>
    <cfRule type="cellIs" dxfId="12576" priority="142" stopIfTrue="1" operator="between">
      <formula>80.1</formula>
      <formula>100</formula>
    </cfRule>
    <cfRule type="cellIs" dxfId="12575" priority="143" stopIfTrue="1" operator="between">
      <formula>35.1</formula>
      <formula>80</formula>
    </cfRule>
    <cfRule type="cellIs" dxfId="12574" priority="144" stopIfTrue="1" operator="between">
      <formula>14.1</formula>
      <formula>35</formula>
    </cfRule>
    <cfRule type="cellIs" dxfId="12573" priority="145" stopIfTrue="1" operator="between">
      <formula>5.1</formula>
      <formula>14</formula>
    </cfRule>
    <cfRule type="cellIs" dxfId="12572" priority="146" stopIfTrue="1" operator="between">
      <formula>0</formula>
      <formula>5</formula>
    </cfRule>
    <cfRule type="containsBlanks" dxfId="12571" priority="147" stopIfTrue="1">
      <formula>LEN(TRIM(E185))=0</formula>
    </cfRule>
  </conditionalFormatting>
  <conditionalFormatting sqref="E194:P194">
    <cfRule type="containsBlanks" dxfId="12570" priority="134" stopIfTrue="1">
      <formula>LEN(TRIM(E194))=0</formula>
    </cfRule>
    <cfRule type="cellIs" dxfId="12569" priority="135" stopIfTrue="1" operator="between">
      <formula>80.1</formula>
      <formula>100</formula>
    </cfRule>
    <cfRule type="cellIs" dxfId="12568" priority="136" stopIfTrue="1" operator="between">
      <formula>35.1</formula>
      <formula>80</formula>
    </cfRule>
    <cfRule type="cellIs" dxfId="12567" priority="137" stopIfTrue="1" operator="between">
      <formula>14.1</formula>
      <formula>35</formula>
    </cfRule>
    <cfRule type="cellIs" dxfId="12566" priority="138" stopIfTrue="1" operator="between">
      <formula>5.1</formula>
      <formula>14</formula>
    </cfRule>
    <cfRule type="cellIs" dxfId="12565" priority="139" stopIfTrue="1" operator="between">
      <formula>0</formula>
      <formula>5</formula>
    </cfRule>
    <cfRule type="containsBlanks" dxfId="12564" priority="140" stopIfTrue="1">
      <formula>LEN(TRIM(E194))=0</formula>
    </cfRule>
  </conditionalFormatting>
  <conditionalFormatting sqref="E188:P188">
    <cfRule type="containsBlanks" dxfId="12563" priority="127" stopIfTrue="1">
      <formula>LEN(TRIM(E188))=0</formula>
    </cfRule>
    <cfRule type="cellIs" dxfId="12562" priority="128" stopIfTrue="1" operator="between">
      <formula>80.1</formula>
      <formula>100</formula>
    </cfRule>
    <cfRule type="cellIs" dxfId="12561" priority="129" stopIfTrue="1" operator="between">
      <formula>35.1</formula>
      <formula>80</formula>
    </cfRule>
    <cfRule type="cellIs" dxfId="12560" priority="130" stopIfTrue="1" operator="between">
      <formula>14.1</formula>
      <formula>35</formula>
    </cfRule>
    <cfRule type="cellIs" dxfId="12559" priority="131" stopIfTrue="1" operator="between">
      <formula>5.1</formula>
      <formula>14</formula>
    </cfRule>
    <cfRule type="cellIs" dxfId="12558" priority="132" stopIfTrue="1" operator="between">
      <formula>0</formula>
      <formula>5</formula>
    </cfRule>
    <cfRule type="containsBlanks" dxfId="12557" priority="133" stopIfTrue="1">
      <formula>LEN(TRIM(E188))=0</formula>
    </cfRule>
  </conditionalFormatting>
  <conditionalFormatting sqref="G187:J187">
    <cfRule type="containsBlanks" dxfId="12556" priority="43" stopIfTrue="1">
      <formula>LEN(TRIM(G187))=0</formula>
    </cfRule>
    <cfRule type="cellIs" dxfId="12555" priority="44" stopIfTrue="1" operator="between">
      <formula>80.1</formula>
      <formula>100</formula>
    </cfRule>
    <cfRule type="cellIs" dxfId="12554" priority="45" stopIfTrue="1" operator="between">
      <formula>35.1</formula>
      <formula>80</formula>
    </cfRule>
    <cfRule type="cellIs" dxfId="12553" priority="46" stopIfTrue="1" operator="between">
      <formula>14.1</formula>
      <formula>35</formula>
    </cfRule>
    <cfRule type="cellIs" dxfId="12552" priority="47" stopIfTrue="1" operator="between">
      <formula>5.1</formula>
      <formula>14</formula>
    </cfRule>
    <cfRule type="cellIs" dxfId="12551" priority="48" stopIfTrue="1" operator="between">
      <formula>0</formula>
      <formula>5</formula>
    </cfRule>
    <cfRule type="containsBlanks" dxfId="12550" priority="49" stopIfTrue="1">
      <formula>LEN(TRIM(G187))=0</formula>
    </cfRule>
  </conditionalFormatting>
  <conditionalFormatting sqref="E184:P184">
    <cfRule type="containsBlanks" dxfId="12549" priority="120" stopIfTrue="1">
      <formula>LEN(TRIM(E184))=0</formula>
    </cfRule>
    <cfRule type="cellIs" dxfId="12548" priority="121" stopIfTrue="1" operator="between">
      <formula>80.1</formula>
      <formula>100</formula>
    </cfRule>
    <cfRule type="cellIs" dxfId="12547" priority="122" stopIfTrue="1" operator="between">
      <formula>35.1</formula>
      <formula>80</formula>
    </cfRule>
    <cfRule type="cellIs" dxfId="12546" priority="123" stopIfTrue="1" operator="between">
      <formula>14.1</formula>
      <formula>35</formula>
    </cfRule>
    <cfRule type="cellIs" dxfId="12545" priority="124" stopIfTrue="1" operator="between">
      <formula>5.1</formula>
      <formula>14</formula>
    </cfRule>
    <cfRule type="cellIs" dxfId="12544" priority="125" stopIfTrue="1" operator="between">
      <formula>0</formula>
      <formula>5</formula>
    </cfRule>
    <cfRule type="containsBlanks" dxfId="12543" priority="126" stopIfTrue="1">
      <formula>LEN(TRIM(E184))=0</formula>
    </cfRule>
  </conditionalFormatting>
  <conditionalFormatting sqref="E186:P186">
    <cfRule type="containsBlanks" dxfId="12542" priority="113" stopIfTrue="1">
      <formula>LEN(TRIM(E186))=0</formula>
    </cfRule>
    <cfRule type="cellIs" dxfId="12541" priority="114" stopIfTrue="1" operator="between">
      <formula>80.1</formula>
      <formula>100</formula>
    </cfRule>
    <cfRule type="cellIs" dxfId="12540" priority="115" stopIfTrue="1" operator="between">
      <formula>35.1</formula>
      <formula>80</formula>
    </cfRule>
    <cfRule type="cellIs" dxfId="12539" priority="116" stopIfTrue="1" operator="between">
      <formula>14.1</formula>
      <formula>35</formula>
    </cfRule>
    <cfRule type="cellIs" dxfId="12538" priority="117" stopIfTrue="1" operator="between">
      <formula>5.1</formula>
      <formula>14</formula>
    </cfRule>
    <cfRule type="cellIs" dxfId="12537" priority="118" stopIfTrue="1" operator="between">
      <formula>0</formula>
      <formula>5</formula>
    </cfRule>
    <cfRule type="containsBlanks" dxfId="12536" priority="119" stopIfTrue="1">
      <formula>LEN(TRIM(E186))=0</formula>
    </cfRule>
  </conditionalFormatting>
  <conditionalFormatting sqref="E196:P196">
    <cfRule type="containsBlanks" dxfId="12535" priority="106" stopIfTrue="1">
      <formula>LEN(TRIM(E196))=0</formula>
    </cfRule>
    <cfRule type="cellIs" dxfId="12534" priority="107" stopIfTrue="1" operator="between">
      <formula>80.1</formula>
      <formula>100</formula>
    </cfRule>
    <cfRule type="cellIs" dxfId="12533" priority="108" stopIfTrue="1" operator="between">
      <formula>35.1</formula>
      <formula>80</formula>
    </cfRule>
    <cfRule type="cellIs" dxfId="12532" priority="109" stopIfTrue="1" operator="between">
      <formula>14.1</formula>
      <formula>35</formula>
    </cfRule>
    <cfRule type="cellIs" dxfId="12531" priority="110" stopIfTrue="1" operator="between">
      <formula>5.1</formula>
      <formula>14</formula>
    </cfRule>
    <cfRule type="cellIs" dxfId="12530" priority="111" stopIfTrue="1" operator="between">
      <formula>0</formula>
      <formula>5</formula>
    </cfRule>
    <cfRule type="containsBlanks" dxfId="12529" priority="112" stopIfTrue="1">
      <formula>LEN(TRIM(E196))=0</formula>
    </cfRule>
  </conditionalFormatting>
  <conditionalFormatting sqref="E203:P203">
    <cfRule type="containsBlanks" dxfId="12528" priority="99" stopIfTrue="1">
      <formula>LEN(TRIM(E203))=0</formula>
    </cfRule>
    <cfRule type="cellIs" dxfId="12527" priority="100" stopIfTrue="1" operator="between">
      <formula>80.1</formula>
      <formula>100</formula>
    </cfRule>
    <cfRule type="cellIs" dxfId="12526" priority="101" stopIfTrue="1" operator="between">
      <formula>35.1</formula>
      <formula>80</formula>
    </cfRule>
    <cfRule type="cellIs" dxfId="12525" priority="102" stopIfTrue="1" operator="between">
      <formula>14.1</formula>
      <formula>35</formula>
    </cfRule>
    <cfRule type="cellIs" dxfId="12524" priority="103" stopIfTrue="1" operator="between">
      <formula>5.1</formula>
      <formula>14</formula>
    </cfRule>
    <cfRule type="cellIs" dxfId="12523" priority="104" stopIfTrue="1" operator="between">
      <formula>0</formula>
      <formula>5</formula>
    </cfRule>
    <cfRule type="containsBlanks" dxfId="12522" priority="105" stopIfTrue="1">
      <formula>LEN(TRIM(E203))=0</formula>
    </cfRule>
  </conditionalFormatting>
  <conditionalFormatting sqref="E198:P198">
    <cfRule type="containsBlanks" dxfId="12521" priority="92" stopIfTrue="1">
      <formula>LEN(TRIM(E198))=0</formula>
    </cfRule>
    <cfRule type="cellIs" dxfId="12520" priority="93" stopIfTrue="1" operator="between">
      <formula>80.1</formula>
      <formula>100</formula>
    </cfRule>
    <cfRule type="cellIs" dxfId="12519" priority="94" stopIfTrue="1" operator="between">
      <formula>35.1</formula>
      <formula>80</formula>
    </cfRule>
    <cfRule type="cellIs" dxfId="12518" priority="95" stopIfTrue="1" operator="between">
      <formula>14.1</formula>
      <formula>35</formula>
    </cfRule>
    <cfRule type="cellIs" dxfId="12517" priority="96" stopIfTrue="1" operator="between">
      <formula>5.1</formula>
      <formula>14</formula>
    </cfRule>
    <cfRule type="cellIs" dxfId="12516" priority="97" stopIfTrue="1" operator="between">
      <formula>0</formula>
      <formula>5</formula>
    </cfRule>
    <cfRule type="containsBlanks" dxfId="12515" priority="98" stopIfTrue="1">
      <formula>LEN(TRIM(E198))=0</formula>
    </cfRule>
  </conditionalFormatting>
  <conditionalFormatting sqref="E192:P192">
    <cfRule type="containsBlanks" dxfId="12514" priority="85" stopIfTrue="1">
      <formula>LEN(TRIM(E192))=0</formula>
    </cfRule>
    <cfRule type="cellIs" dxfId="12513" priority="86" stopIfTrue="1" operator="between">
      <formula>80.1</formula>
      <formula>100</formula>
    </cfRule>
    <cfRule type="cellIs" dxfId="12512" priority="87" stopIfTrue="1" operator="between">
      <formula>35.1</formula>
      <formula>80</formula>
    </cfRule>
    <cfRule type="cellIs" dxfId="12511" priority="88" stopIfTrue="1" operator="between">
      <formula>14.1</formula>
      <formula>35</formula>
    </cfRule>
    <cfRule type="cellIs" dxfId="12510" priority="89" stopIfTrue="1" operator="between">
      <formula>5.1</formula>
      <formula>14</formula>
    </cfRule>
    <cfRule type="cellIs" dxfId="12509" priority="90" stopIfTrue="1" operator="between">
      <formula>0</formula>
      <formula>5</formula>
    </cfRule>
    <cfRule type="containsBlanks" dxfId="12508" priority="91" stopIfTrue="1">
      <formula>LEN(TRIM(E192))=0</formula>
    </cfRule>
  </conditionalFormatting>
  <conditionalFormatting sqref="E182:P182">
    <cfRule type="containsBlanks" dxfId="12507" priority="78" stopIfTrue="1">
      <formula>LEN(TRIM(E182))=0</formula>
    </cfRule>
    <cfRule type="cellIs" dxfId="12506" priority="79" stopIfTrue="1" operator="between">
      <formula>80.1</formula>
      <formula>100</formula>
    </cfRule>
    <cfRule type="cellIs" dxfId="12505" priority="80" stopIfTrue="1" operator="between">
      <formula>35.1</formula>
      <formula>80</formula>
    </cfRule>
    <cfRule type="cellIs" dxfId="12504" priority="81" stopIfTrue="1" operator="between">
      <formula>14.1</formula>
      <formula>35</formula>
    </cfRule>
    <cfRule type="cellIs" dxfId="12503" priority="82" stopIfTrue="1" operator="between">
      <formula>5.1</formula>
      <formula>14</formula>
    </cfRule>
    <cfRule type="cellIs" dxfId="12502" priority="83" stopIfTrue="1" operator="between">
      <formula>0</formula>
      <formula>5</formula>
    </cfRule>
    <cfRule type="containsBlanks" dxfId="12501" priority="84" stopIfTrue="1">
      <formula>LEN(TRIM(E182))=0</formula>
    </cfRule>
  </conditionalFormatting>
  <conditionalFormatting sqref="E195:P195">
    <cfRule type="containsBlanks" dxfId="12500" priority="71" stopIfTrue="1">
      <formula>LEN(TRIM(E195))=0</formula>
    </cfRule>
    <cfRule type="cellIs" dxfId="12499" priority="72" stopIfTrue="1" operator="between">
      <formula>80.1</formula>
      <formula>100</formula>
    </cfRule>
    <cfRule type="cellIs" dxfId="12498" priority="73" stopIfTrue="1" operator="between">
      <formula>35.1</formula>
      <formula>80</formula>
    </cfRule>
    <cfRule type="cellIs" dxfId="12497" priority="74" stopIfTrue="1" operator="between">
      <formula>14.1</formula>
      <formula>35</formula>
    </cfRule>
    <cfRule type="cellIs" dxfId="12496" priority="75" stopIfTrue="1" operator="between">
      <formula>5.1</formula>
      <formula>14</formula>
    </cfRule>
    <cfRule type="cellIs" dxfId="12495" priority="76" stopIfTrue="1" operator="between">
      <formula>0</formula>
      <formula>5</formula>
    </cfRule>
    <cfRule type="containsBlanks" dxfId="12494" priority="77" stopIfTrue="1">
      <formula>LEN(TRIM(E195))=0</formula>
    </cfRule>
  </conditionalFormatting>
  <conditionalFormatting sqref="E197:P197">
    <cfRule type="containsBlanks" dxfId="12493" priority="64" stopIfTrue="1">
      <formula>LEN(TRIM(E197))=0</formula>
    </cfRule>
    <cfRule type="cellIs" dxfId="12492" priority="65" stopIfTrue="1" operator="between">
      <formula>80.1</formula>
      <formula>100</formula>
    </cfRule>
    <cfRule type="cellIs" dxfId="12491" priority="66" stopIfTrue="1" operator="between">
      <formula>35.1</formula>
      <formula>80</formula>
    </cfRule>
    <cfRule type="cellIs" dxfId="12490" priority="67" stopIfTrue="1" operator="between">
      <formula>14.1</formula>
      <formula>35</formula>
    </cfRule>
    <cfRule type="cellIs" dxfId="12489" priority="68" stopIfTrue="1" operator="between">
      <formula>5.1</formula>
      <formula>14</formula>
    </cfRule>
    <cfRule type="cellIs" dxfId="12488" priority="69" stopIfTrue="1" operator="between">
      <formula>0</formula>
      <formula>5</formula>
    </cfRule>
    <cfRule type="containsBlanks" dxfId="12487" priority="70" stopIfTrue="1">
      <formula>LEN(TRIM(E197))=0</formula>
    </cfRule>
  </conditionalFormatting>
  <conditionalFormatting sqref="E183:P183">
    <cfRule type="containsBlanks" dxfId="12486" priority="57" stopIfTrue="1">
      <formula>LEN(TRIM(E183))=0</formula>
    </cfRule>
    <cfRule type="cellIs" dxfId="12485" priority="58" stopIfTrue="1" operator="between">
      <formula>80.1</formula>
      <formula>100</formula>
    </cfRule>
    <cfRule type="cellIs" dxfId="12484" priority="59" stopIfTrue="1" operator="between">
      <formula>35.1</formula>
      <formula>80</formula>
    </cfRule>
    <cfRule type="cellIs" dxfId="12483" priority="60" stopIfTrue="1" operator="between">
      <formula>14.1</formula>
      <formula>35</formula>
    </cfRule>
    <cfRule type="cellIs" dxfId="12482" priority="61" stopIfTrue="1" operator="between">
      <formula>5.1</formula>
      <formula>14</formula>
    </cfRule>
    <cfRule type="cellIs" dxfId="12481" priority="62" stopIfTrue="1" operator="between">
      <formula>0</formula>
      <formula>5</formula>
    </cfRule>
    <cfRule type="containsBlanks" dxfId="12480" priority="63" stopIfTrue="1">
      <formula>LEN(TRIM(E183))=0</formula>
    </cfRule>
  </conditionalFormatting>
  <conditionalFormatting sqref="E187:F187 K187:P187">
    <cfRule type="containsBlanks" dxfId="12479" priority="50" stopIfTrue="1">
      <formula>LEN(TRIM(E187))=0</formula>
    </cfRule>
    <cfRule type="cellIs" dxfId="12478" priority="51" stopIfTrue="1" operator="between">
      <formula>80.1</formula>
      <formula>100</formula>
    </cfRule>
    <cfRule type="cellIs" dxfId="12477" priority="52" stopIfTrue="1" operator="between">
      <formula>35.1</formula>
      <formula>80</formula>
    </cfRule>
    <cfRule type="cellIs" dxfId="12476" priority="53" stopIfTrue="1" operator="between">
      <formula>14.1</formula>
      <formula>35</formula>
    </cfRule>
    <cfRule type="cellIs" dxfId="12475" priority="54" stopIfTrue="1" operator="between">
      <formula>5.1</formula>
      <formula>14</formula>
    </cfRule>
    <cfRule type="cellIs" dxfId="12474" priority="55" stopIfTrue="1" operator="between">
      <formula>0</formula>
      <formula>5</formula>
    </cfRule>
    <cfRule type="containsBlanks" dxfId="12473" priority="56" stopIfTrue="1">
      <formula>LEN(TRIM(E187))=0</formula>
    </cfRule>
  </conditionalFormatting>
  <conditionalFormatting sqref="L164:L165">
    <cfRule type="containsBlanks" dxfId="12472" priority="36" stopIfTrue="1">
      <formula>LEN(TRIM(L164))=0</formula>
    </cfRule>
    <cfRule type="cellIs" dxfId="12471" priority="37" stopIfTrue="1" operator="between">
      <formula>80.1</formula>
      <formula>100</formula>
    </cfRule>
    <cfRule type="cellIs" dxfId="12470" priority="38" stopIfTrue="1" operator="between">
      <formula>35.1</formula>
      <formula>80</formula>
    </cfRule>
    <cfRule type="cellIs" dxfId="12469" priority="39" stopIfTrue="1" operator="between">
      <formula>14.1</formula>
      <formula>35</formula>
    </cfRule>
    <cfRule type="cellIs" dxfId="12468" priority="40" stopIfTrue="1" operator="between">
      <formula>5.1</formula>
      <formula>14</formula>
    </cfRule>
    <cfRule type="cellIs" dxfId="12467" priority="41" stopIfTrue="1" operator="between">
      <formula>0</formula>
      <formula>5</formula>
    </cfRule>
    <cfRule type="containsBlanks" dxfId="12466" priority="42" stopIfTrue="1">
      <formula>LEN(TRIM(L164))=0</formula>
    </cfRule>
  </conditionalFormatting>
  <conditionalFormatting sqref="L164:L165">
    <cfRule type="containsBlanks" dxfId="12465" priority="29" stopIfTrue="1">
      <formula>LEN(TRIM(L164))=0</formula>
    </cfRule>
    <cfRule type="cellIs" dxfId="12464" priority="30" stopIfTrue="1" operator="between">
      <formula>80.1</formula>
      <formula>100</formula>
    </cfRule>
    <cfRule type="cellIs" dxfId="12463" priority="31" stopIfTrue="1" operator="between">
      <formula>35.1</formula>
      <formula>80</formula>
    </cfRule>
    <cfRule type="cellIs" dxfId="12462" priority="32" stopIfTrue="1" operator="between">
      <formula>14.1</formula>
      <formula>35</formula>
    </cfRule>
    <cfRule type="cellIs" dxfId="12461" priority="33" stopIfTrue="1" operator="between">
      <formula>5.1</formula>
      <formula>14</formula>
    </cfRule>
    <cfRule type="cellIs" dxfId="12460" priority="34" stopIfTrue="1" operator="between">
      <formula>0</formula>
      <formula>5</formula>
    </cfRule>
    <cfRule type="containsBlanks" dxfId="12459" priority="35" stopIfTrue="1">
      <formula>LEN(TRIM(L164))=0</formula>
    </cfRule>
  </conditionalFormatting>
  <conditionalFormatting sqref="L163">
    <cfRule type="containsBlanks" dxfId="12458" priority="22" stopIfTrue="1">
      <formula>LEN(TRIM(L163))=0</formula>
    </cfRule>
    <cfRule type="cellIs" dxfId="12457" priority="23" stopIfTrue="1" operator="between">
      <formula>80.1</formula>
      <formula>100</formula>
    </cfRule>
    <cfRule type="cellIs" dxfId="12456" priority="24" stopIfTrue="1" operator="between">
      <formula>35.1</formula>
      <formula>80</formula>
    </cfRule>
    <cfRule type="cellIs" dxfId="12455" priority="25" stopIfTrue="1" operator="between">
      <formula>14.1</formula>
      <formula>35</formula>
    </cfRule>
    <cfRule type="cellIs" dxfId="12454" priority="26" stopIfTrue="1" operator="between">
      <formula>5.1</formula>
      <formula>14</formula>
    </cfRule>
    <cfRule type="cellIs" dxfId="12453" priority="27" stopIfTrue="1" operator="between">
      <formula>0</formula>
      <formula>5</formula>
    </cfRule>
    <cfRule type="containsBlanks" dxfId="12452" priority="28" stopIfTrue="1">
      <formula>LEN(TRIM(L163))=0</formula>
    </cfRule>
  </conditionalFormatting>
  <conditionalFormatting sqref="L163">
    <cfRule type="containsBlanks" dxfId="12451" priority="15" stopIfTrue="1">
      <formula>LEN(TRIM(L163))=0</formula>
    </cfRule>
    <cfRule type="cellIs" dxfId="12450" priority="16" stopIfTrue="1" operator="between">
      <formula>80.1</formula>
      <formula>100</formula>
    </cfRule>
    <cfRule type="cellIs" dxfId="12449" priority="17" stopIfTrue="1" operator="between">
      <formula>35.1</formula>
      <formula>80</formula>
    </cfRule>
    <cfRule type="cellIs" dxfId="12448" priority="18" stopIfTrue="1" operator="between">
      <formula>14.1</formula>
      <formula>35</formula>
    </cfRule>
    <cfRule type="cellIs" dxfId="12447" priority="19" stopIfTrue="1" operator="between">
      <formula>5.1</formula>
      <formula>14</formula>
    </cfRule>
    <cfRule type="cellIs" dxfId="12446" priority="20" stopIfTrue="1" operator="between">
      <formula>0</formula>
      <formula>5</formula>
    </cfRule>
    <cfRule type="containsBlanks" dxfId="12445" priority="21" stopIfTrue="1">
      <formula>LEN(TRIM(L163))=0</formula>
    </cfRule>
  </conditionalFormatting>
  <conditionalFormatting sqref="L166:L169">
    <cfRule type="containsBlanks" dxfId="12444" priority="8" stopIfTrue="1">
      <formula>LEN(TRIM(L166))=0</formula>
    </cfRule>
    <cfRule type="cellIs" dxfId="12443" priority="9" stopIfTrue="1" operator="between">
      <formula>80.1</formula>
      <formula>100</formula>
    </cfRule>
    <cfRule type="cellIs" dxfId="12442" priority="10" stopIfTrue="1" operator="between">
      <formula>35.1</formula>
      <formula>80</formula>
    </cfRule>
    <cfRule type="cellIs" dxfId="12441" priority="11" stopIfTrue="1" operator="between">
      <formula>14.1</formula>
      <formula>35</formula>
    </cfRule>
    <cfRule type="cellIs" dxfId="12440" priority="12" stopIfTrue="1" operator="between">
      <formula>5.1</formula>
      <formula>14</formula>
    </cfRule>
    <cfRule type="cellIs" dxfId="12439" priority="13" stopIfTrue="1" operator="between">
      <formula>0</formula>
      <formula>5</formula>
    </cfRule>
    <cfRule type="containsBlanks" dxfId="12438" priority="14" stopIfTrue="1">
      <formula>LEN(TRIM(L166))=0</formula>
    </cfRule>
  </conditionalFormatting>
  <conditionalFormatting sqref="L166:L169">
    <cfRule type="containsBlanks" dxfId="12437" priority="1" stopIfTrue="1">
      <formula>LEN(TRIM(L166))=0</formula>
    </cfRule>
    <cfRule type="cellIs" dxfId="12436" priority="2" stopIfTrue="1" operator="between">
      <formula>80.1</formula>
      <formula>100</formula>
    </cfRule>
    <cfRule type="cellIs" dxfId="12435" priority="3" stopIfTrue="1" operator="between">
      <formula>35.1</formula>
      <formula>80</formula>
    </cfRule>
    <cfRule type="cellIs" dxfId="12434" priority="4" stopIfTrue="1" operator="between">
      <formula>14.1</formula>
      <formula>35</formula>
    </cfRule>
    <cfRule type="cellIs" dxfId="12433" priority="5" stopIfTrue="1" operator="between">
      <formula>5.1</formula>
      <formula>14</formula>
    </cfRule>
    <cfRule type="cellIs" dxfId="12432" priority="6" stopIfTrue="1" operator="between">
      <formula>0</formula>
      <formula>5</formula>
    </cfRule>
    <cfRule type="containsBlanks" dxfId="12431" priority="7" stopIfTrue="1">
      <formula>LEN(TRIM(L166))=0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I142"/>
  <sheetViews>
    <sheetView zoomScale="70" zoomScaleNormal="70" workbookViewId="0">
      <selection activeCell="A7" sqref="A7"/>
    </sheetView>
  </sheetViews>
  <sheetFormatPr baseColWidth="10" defaultRowHeight="12.75"/>
  <cols>
    <col min="1" max="1" width="42.85546875" customWidth="1"/>
    <col min="2" max="2" width="29.5703125" bestFit="1" customWidth="1"/>
    <col min="3" max="3" width="25.140625" customWidth="1"/>
    <col min="4" max="4" width="28.42578125" customWidth="1"/>
    <col min="5" max="5" width="45.85546875" customWidth="1"/>
    <col min="6" max="6" width="25" style="4" customWidth="1"/>
  </cols>
  <sheetData>
    <row r="1" spans="1:6" ht="18">
      <c r="B1" s="61" t="s">
        <v>251</v>
      </c>
      <c r="C1" s="60"/>
      <c r="D1" s="60"/>
    </row>
    <row r="2" spans="1:6" ht="18">
      <c r="B2" s="61" t="s">
        <v>4313</v>
      </c>
      <c r="C2" s="60"/>
      <c r="D2" s="60"/>
    </row>
    <row r="3" spans="1:6" s="199" customFormat="1" ht="18">
      <c r="B3" s="60" t="s">
        <v>4346</v>
      </c>
      <c r="C3" s="60"/>
      <c r="D3" s="60"/>
      <c r="F3" s="4"/>
    </row>
    <row r="4" spans="1:6" ht="18">
      <c r="B4" s="60" t="s">
        <v>3907</v>
      </c>
      <c r="C4" s="298"/>
      <c r="D4" s="298"/>
    </row>
    <row r="5" spans="1:6" s="199" customFormat="1" ht="18">
      <c r="B5" s="727" t="s">
        <v>4450</v>
      </c>
      <c r="C5" s="727"/>
      <c r="D5" s="727"/>
      <c r="F5" s="4"/>
    </row>
    <row r="6" spans="1:6" ht="20.25" customHeight="1"/>
    <row r="7" spans="1:6" ht="54" customHeight="1">
      <c r="A7" s="59" t="s">
        <v>98</v>
      </c>
      <c r="B7" s="287" t="s">
        <v>37</v>
      </c>
      <c r="C7" s="287" t="s">
        <v>99</v>
      </c>
      <c r="D7" s="287" t="s">
        <v>100</v>
      </c>
      <c r="E7" s="288" t="s">
        <v>4459</v>
      </c>
      <c r="F7" s="288" t="s">
        <v>4312</v>
      </c>
    </row>
    <row r="8" spans="1:6" ht="24.95" customHeight="1">
      <c r="A8" s="725" t="s">
        <v>4474</v>
      </c>
      <c r="B8" s="285" t="s">
        <v>102</v>
      </c>
      <c r="C8" s="55">
        <v>52</v>
      </c>
      <c r="D8" s="209">
        <f>COUNTIF('VALLE DE ABURRA'!A:A, "Medellín")-COUNTIFS('VALLE DE ABURRA'!A:A,"Medellín",'VALLE DE ABURRA'!C:C,"")</f>
        <v>22</v>
      </c>
      <c r="E8" s="283">
        <v>99385.45199999999</v>
      </c>
      <c r="F8" s="540">
        <v>96.3</v>
      </c>
    </row>
    <row r="9" spans="1:6" ht="24.95" customHeight="1">
      <c r="A9" s="725"/>
      <c r="B9" s="285" t="s">
        <v>77</v>
      </c>
      <c r="C9" s="55">
        <v>56</v>
      </c>
      <c r="D9" s="55">
        <f>COUNTIF('VALLE DE ABURRA'!A:A, "Barbosa")-COUNTIFS('VALLE DE ABURRA'!A:A,"Barbosa",'VALLE DE ABURRA'!C:C,"")</f>
        <v>63</v>
      </c>
      <c r="E9" s="283">
        <v>6220.9547097597278</v>
      </c>
      <c r="F9" s="540">
        <v>54.752285775037215</v>
      </c>
    </row>
    <row r="10" spans="1:6" ht="24.95" customHeight="1">
      <c r="A10" s="725"/>
      <c r="B10" s="285" t="s">
        <v>78</v>
      </c>
      <c r="C10" s="55">
        <v>20</v>
      </c>
      <c r="D10" s="55">
        <f>COUNTIF('VALLE DE ABURRA'!A:A, "Bello")-COUNTIFS('VALLE DE ABURRA'!A:A,"Bello",'VALLE DE ABURRA'!C:C,"")</f>
        <v>10</v>
      </c>
      <c r="E10" s="283">
        <v>2450.0000000000005</v>
      </c>
      <c r="F10" s="540">
        <v>47.72107518504091</v>
      </c>
    </row>
    <row r="11" spans="1:6" ht="24.95" customHeight="1">
      <c r="A11" s="725"/>
      <c r="B11" s="285" t="s">
        <v>103</v>
      </c>
      <c r="C11" s="55">
        <v>20</v>
      </c>
      <c r="D11" s="55">
        <f>COUNTIF('VALLE DE ABURRA'!A:A, "Caldas")-COUNTIFS('VALLE DE ABURRA'!A:A,"Caldas",'VALLE DE ABURRA'!C:C,"")</f>
        <v>19</v>
      </c>
      <c r="E11" s="283">
        <v>3848.1463999999996</v>
      </c>
      <c r="F11" s="540">
        <v>77.209999999999994</v>
      </c>
    </row>
    <row r="12" spans="1:6" ht="24.95" customHeight="1">
      <c r="A12" s="725"/>
      <c r="B12" s="285" t="s">
        <v>104</v>
      </c>
      <c r="C12" s="55">
        <v>15</v>
      </c>
      <c r="D12" s="55">
        <f>COUNTIF('VALLE DE ABURRA'!A:A, "Copacabana")-COUNTIFS('VALLE DE ABURRA'!A:A,"Copacabana",'VALLE DE ABURRA'!C:C,"")</f>
        <v>19</v>
      </c>
      <c r="E12" s="283">
        <v>3859.3239999999996</v>
      </c>
      <c r="F12" s="540">
        <v>81.8</v>
      </c>
    </row>
    <row r="13" spans="1:6" ht="24.95" customHeight="1">
      <c r="A13" s="725"/>
      <c r="B13" s="285" t="s">
        <v>79</v>
      </c>
      <c r="C13" s="55">
        <v>25</v>
      </c>
      <c r="D13" s="55">
        <f>COUNTIF('VALLE DE ABURRA'!A:A, "Girardota")-COUNTIFS('VALLE DE ABURRA'!A:A,"Girardota",'VALLE DE ABURRA'!C:C,"")</f>
        <v>26</v>
      </c>
      <c r="E13" s="283">
        <v>5507.7959999999994</v>
      </c>
      <c r="F13" s="540">
        <v>77.14</v>
      </c>
    </row>
    <row r="14" spans="1:6" ht="24.95" customHeight="1">
      <c r="A14" s="725"/>
      <c r="B14" s="285" t="s">
        <v>105</v>
      </c>
      <c r="C14" s="55">
        <v>8</v>
      </c>
      <c r="D14" s="55">
        <f>COUNTIF('VALLE DE ABURRA'!A:A, "Itagui")-COUNTIFS('VALLE DE ABURRA'!A:A,"Itagui",'VALLE DE ABURRA'!C:C,"")</f>
        <v>8</v>
      </c>
      <c r="E14" s="283">
        <v>6663.259</v>
      </c>
      <c r="F14" s="540">
        <v>89.26</v>
      </c>
    </row>
    <row r="15" spans="1:6" ht="24.95" customHeight="1">
      <c r="A15" s="725"/>
      <c r="B15" s="285" t="s">
        <v>106</v>
      </c>
      <c r="C15" s="55">
        <v>6</v>
      </c>
      <c r="D15" s="55">
        <f>COUNTIF('VALLE DE ABURRA'!A:A, "Envigado")-COUNTIFS('VALLE DE ABURRA'!A:A,"Envigado",'VALLE DE ABURRA'!C:C,"")</f>
        <v>15</v>
      </c>
      <c r="E15" s="283">
        <v>2078.7514999999999</v>
      </c>
      <c r="F15" s="540">
        <v>89.26</v>
      </c>
    </row>
    <row r="16" spans="1:6" ht="24.95" customHeight="1">
      <c r="A16" s="725"/>
      <c r="B16" s="285" t="s">
        <v>107</v>
      </c>
      <c r="C16" s="55">
        <v>6</v>
      </c>
      <c r="D16" s="55">
        <f>COUNTIF('VALLE DE ABURRA'!A:A, "Sabaneta")-COUNTIFS('VALLE DE ABURRA'!A:A,"Sabaneta",'VALLE DE ABURRA'!C:C,"")</f>
        <v>7</v>
      </c>
      <c r="E16" s="283">
        <v>3347.1402000000003</v>
      </c>
      <c r="F16" s="540">
        <v>98.94</v>
      </c>
    </row>
    <row r="17" spans="1:6" ht="24.95" customHeight="1">
      <c r="A17" s="725"/>
      <c r="B17" s="285" t="s">
        <v>108</v>
      </c>
      <c r="C17" s="55">
        <v>14</v>
      </c>
      <c r="D17" s="55">
        <f>COUNTIF('VALLE DE ABURRA'!A:A, "La Estrella")-COUNTIFS('VALLE DE ABURRA'!A:A,"La Estrella",'VALLE DE ABURRA'!C:C,"")</f>
        <v>11</v>
      </c>
      <c r="E17" s="283">
        <v>2996.8517000000006</v>
      </c>
      <c r="F17" s="540">
        <v>86.29</v>
      </c>
    </row>
    <row r="18" spans="1:6" ht="24.95" customHeight="1">
      <c r="A18" s="726"/>
      <c r="B18" s="286" t="s">
        <v>109</v>
      </c>
      <c r="C18" s="44">
        <f>SUM(C8:C17)</f>
        <v>222</v>
      </c>
      <c r="D18" s="44">
        <f>SUM(D8:D17)</f>
        <v>200</v>
      </c>
      <c r="E18" s="297">
        <f>SUM(E8:E17)</f>
        <v>136357.67550975972</v>
      </c>
      <c r="F18" s="394">
        <v>88.83</v>
      </c>
    </row>
    <row r="19" spans="1:6" ht="24.95" customHeight="1">
      <c r="A19" s="725" t="s">
        <v>110</v>
      </c>
      <c r="B19" s="285" t="s">
        <v>3759</v>
      </c>
      <c r="C19" s="55">
        <v>50</v>
      </c>
      <c r="D19" s="209">
        <f>COUNTIF(URABA!A:A, "Apartadó")-COUNTIFS(URABA!A:A,"Apartadó",URABA!C:C,"")</f>
        <v>10</v>
      </c>
      <c r="E19" s="283">
        <v>4142</v>
      </c>
      <c r="F19" s="541">
        <v>69.625147083543453</v>
      </c>
    </row>
    <row r="20" spans="1:6" ht="24.95" customHeight="1">
      <c r="A20" s="725"/>
      <c r="B20" s="285" t="s">
        <v>112</v>
      </c>
      <c r="C20" s="55">
        <v>62</v>
      </c>
      <c r="D20" s="55">
        <f>COUNTIF(URABA!A:A, "Arboletes")-COUNTIFS(URABA!A:A,"Arboletes",URABA!C:C,"")</f>
        <v>22</v>
      </c>
      <c r="E20" s="283">
        <v>1908.3791999999999</v>
      </c>
      <c r="F20" s="541">
        <v>35.979999999999997</v>
      </c>
    </row>
    <row r="21" spans="1:6" ht="24.95" customHeight="1">
      <c r="A21" s="725"/>
      <c r="B21" s="285" t="s">
        <v>113</v>
      </c>
      <c r="C21" s="55">
        <v>31</v>
      </c>
      <c r="D21" s="55">
        <f>COUNTIF(URABA!A:A, "Carepa")-COUNTIFS(URABA!A:A,"Carepa",URABA!C:C,"")</f>
        <v>15</v>
      </c>
      <c r="E21" s="283">
        <v>2260.9999999999995</v>
      </c>
      <c r="F21" s="541">
        <v>59.142035051007056</v>
      </c>
    </row>
    <row r="22" spans="1:6" ht="24.95" customHeight="1">
      <c r="A22" s="725"/>
      <c r="B22" s="285" t="s">
        <v>3761</v>
      </c>
      <c r="C22" s="55">
        <v>30</v>
      </c>
      <c r="D22" s="212">
        <f>COUNTIF(URABA!A:A, "Chigorodó")-COUNTIFS(URABA!A:A,"Chigorodó",URABA!C:C,"")</f>
        <v>4</v>
      </c>
      <c r="E22" s="283">
        <v>359</v>
      </c>
      <c r="F22" s="541">
        <v>14.337060702875398</v>
      </c>
    </row>
    <row r="23" spans="1:6" ht="24.95" customHeight="1">
      <c r="A23" s="725"/>
      <c r="B23" s="285" t="s">
        <v>81</v>
      </c>
      <c r="C23" s="55">
        <v>20</v>
      </c>
      <c r="D23" s="212">
        <f>COUNTIF(URABA!A:A, "Murindo")-COUNTIFS(URABA!A:A,"Murindo",URABA!C:C,"")</f>
        <v>0</v>
      </c>
      <c r="E23" s="283">
        <v>0</v>
      </c>
      <c r="F23" s="541">
        <v>0</v>
      </c>
    </row>
    <row r="24" spans="1:6" ht="24.95" customHeight="1">
      <c r="A24" s="725"/>
      <c r="B24" s="285" t="s">
        <v>3760</v>
      </c>
      <c r="C24" s="55">
        <v>38</v>
      </c>
      <c r="D24" s="212">
        <f>COUNTIF(URABA!A:A, "Mutatá")-COUNTIFS(URABA!A:A,"Mutatá",URABA!C:C,"")</f>
        <v>14</v>
      </c>
      <c r="E24" s="283">
        <v>1320.9516000000001</v>
      </c>
      <c r="F24" s="541">
        <v>56.02</v>
      </c>
    </row>
    <row r="25" spans="1:6" ht="24.95" customHeight="1">
      <c r="A25" s="725"/>
      <c r="B25" s="285" t="s">
        <v>3762</v>
      </c>
      <c r="C25" s="55">
        <v>105</v>
      </c>
      <c r="D25" s="212">
        <f>COUNTIF(URABA!A:A, "Necoclí")-COUNTIFS(URABA!A:A,"Necoclí",URABA!C:C,"")</f>
        <v>22</v>
      </c>
      <c r="E25" s="283">
        <v>1837</v>
      </c>
      <c r="F25" s="541">
        <v>21.490407112774918</v>
      </c>
    </row>
    <row r="26" spans="1:6" ht="24.95" customHeight="1">
      <c r="A26" s="725"/>
      <c r="B26" s="285" t="s">
        <v>117</v>
      </c>
      <c r="C26" s="55">
        <v>36</v>
      </c>
      <c r="D26" s="212">
        <f>COUNTIF(URABA!A:A, "San Juan De Urabá")-COUNTIFS(URABA!A:A,"San Juan De Urabá",URABA!C:C,"")</f>
        <v>2</v>
      </c>
      <c r="E26" s="283">
        <v>453.37410000000006</v>
      </c>
      <c r="F26" s="541">
        <v>12.33</v>
      </c>
    </row>
    <row r="27" spans="1:6" ht="24.95" customHeight="1">
      <c r="A27" s="725"/>
      <c r="B27" s="285" t="s">
        <v>118</v>
      </c>
      <c r="C27" s="55">
        <v>59</v>
      </c>
      <c r="D27" s="212">
        <f>COUNTIF(URABA!A:A, "San Pedro de Urabá")-COUNTIFS(URABA!A:A,"San Pedro de Urabá",URABA!C:C,"")</f>
        <v>6</v>
      </c>
      <c r="E27" s="283">
        <v>382.57859999999999</v>
      </c>
      <c r="F27" s="541">
        <v>8.18</v>
      </c>
    </row>
    <row r="28" spans="1:6" ht="24.95" customHeight="1">
      <c r="A28" s="725"/>
      <c r="B28" s="285" t="s">
        <v>119</v>
      </c>
      <c r="C28" s="55">
        <v>29</v>
      </c>
      <c r="D28" s="55">
        <f>COUNTIF(URABA!A:A,"Vigia del Fuerte")-COUNTIFS(URABA!A:A,"Vigia del fuerte",URABA!C:C,"")</f>
        <v>0</v>
      </c>
      <c r="E28" s="283">
        <v>133.35139999999998</v>
      </c>
      <c r="F28" s="541">
        <v>8.6199999999999992</v>
      </c>
    </row>
    <row r="29" spans="1:6" ht="24.95" customHeight="1">
      <c r="A29" s="725"/>
      <c r="B29" s="285" t="s">
        <v>120</v>
      </c>
      <c r="C29" s="55">
        <v>219</v>
      </c>
      <c r="D29" s="212">
        <f>COUNTIF(URABA!A:A,"Turbo")-COUNTIFS(URABA!A:A,"Turbo",URABA!C:C,"")</f>
        <v>14</v>
      </c>
      <c r="E29" s="283">
        <v>10744.653900000001</v>
      </c>
      <c r="F29" s="541">
        <v>51.27</v>
      </c>
    </row>
    <row r="30" spans="1:6" ht="24.95" customHeight="1">
      <c r="A30" s="726"/>
      <c r="B30" s="286" t="s">
        <v>109</v>
      </c>
      <c r="C30" s="44">
        <f>SUM(C19:C29)</f>
        <v>679</v>
      </c>
      <c r="D30" s="44">
        <f>SUM(D19:D29)</f>
        <v>109</v>
      </c>
      <c r="E30" s="297">
        <f>SUM(E19:E29)</f>
        <v>23542.288800000002</v>
      </c>
      <c r="F30" s="394">
        <v>39.22</v>
      </c>
    </row>
    <row r="31" spans="1:6" ht="24.95" customHeight="1">
      <c r="A31" s="725" t="s">
        <v>121</v>
      </c>
      <c r="B31" s="285" t="s">
        <v>122</v>
      </c>
      <c r="C31" s="55">
        <v>46</v>
      </c>
      <c r="D31" s="55">
        <f>COUNTIF(NORTE!A:A,"Angostura")-COUNTIFS(NORTE!A:A,"Angostura",NORTE!C:C,"")</f>
        <v>24</v>
      </c>
      <c r="E31" s="283">
        <v>1630.7718</v>
      </c>
      <c r="F31" s="541">
        <v>65.81</v>
      </c>
    </row>
    <row r="32" spans="1:6" ht="24.95" customHeight="1">
      <c r="A32" s="725"/>
      <c r="B32" s="285" t="s">
        <v>123</v>
      </c>
      <c r="C32" s="55">
        <v>15</v>
      </c>
      <c r="D32" s="55">
        <f>COUNTIF(NORTE!A:A,"Belmira")-COUNTIFS(NORTE!A:A,"Belmira",NORTE!C:C,"")</f>
        <v>9</v>
      </c>
      <c r="E32" s="283">
        <v>475.13550000000004</v>
      </c>
      <c r="F32" s="541">
        <v>38.85</v>
      </c>
    </row>
    <row r="33" spans="1:9" ht="24.95" customHeight="1">
      <c r="A33" s="725"/>
      <c r="B33" s="285" t="s">
        <v>124</v>
      </c>
      <c r="C33" s="55">
        <v>38</v>
      </c>
      <c r="D33" s="55">
        <f>COUNTIF(NORTE!A:A,"Briceño")-COUNTIFS(NORTE!A:A,"Briceño",NORTE!C:C,"")</f>
        <v>12</v>
      </c>
      <c r="E33" s="283">
        <v>466.25199999999995</v>
      </c>
      <c r="F33" s="541">
        <v>28.43</v>
      </c>
    </row>
    <row r="34" spans="1:9" ht="24.95" customHeight="1">
      <c r="A34" s="725"/>
      <c r="B34" s="285" t="s">
        <v>125</v>
      </c>
      <c r="C34" s="55">
        <v>43</v>
      </c>
      <c r="D34" s="55">
        <f>COUNTIF(NORTE!A:A,"Campamento")-COUNTIFS(NORTE!A:A,"Campamento",NORTE!C:C,"")</f>
        <v>11</v>
      </c>
      <c r="E34" s="283">
        <v>525.43549999999993</v>
      </c>
      <c r="F34" s="541">
        <v>29.11</v>
      </c>
    </row>
    <row r="35" spans="1:9" ht="24.95" customHeight="1">
      <c r="A35" s="725"/>
      <c r="B35" s="285" t="s">
        <v>126</v>
      </c>
      <c r="C35" s="55">
        <v>6</v>
      </c>
      <c r="D35" s="212">
        <f>COUNTIF(NORTE!A:A,"Carolina del Príncipe")-COUNTIFS(NORTE!A:A,"Carolina del Príncipe",NORTE!C:C,"")</f>
        <v>6</v>
      </c>
      <c r="E35" s="283">
        <v>122.6602</v>
      </c>
      <c r="F35" s="541">
        <v>36.29</v>
      </c>
    </row>
    <row r="36" spans="1:9" ht="24.95" customHeight="1">
      <c r="A36" s="725"/>
      <c r="B36" s="285" t="s">
        <v>127</v>
      </c>
      <c r="C36" s="55">
        <v>19</v>
      </c>
      <c r="D36" s="212">
        <f>COUNTIF(NORTE!A:A,"Don Matías")-COUNTIFS(NORTE!A:A,"Don Matías",NORTE!C:C,"")</f>
        <v>5</v>
      </c>
      <c r="E36" s="283">
        <v>1110.6956</v>
      </c>
      <c r="F36" s="541">
        <v>52.54</v>
      </c>
    </row>
    <row r="37" spans="1:9" ht="24.95" customHeight="1">
      <c r="A37" s="725"/>
      <c r="B37" s="285" t="s">
        <v>3763</v>
      </c>
      <c r="C37" s="55">
        <v>11</v>
      </c>
      <c r="D37" s="212">
        <f>COUNTIF(NORTE!A:A,"Entrerríos")-COUNTIFS(NORTE!A:A,"Entrerríos",NORTE!C:C,"")</f>
        <v>11</v>
      </c>
      <c r="E37" s="283">
        <v>1102.0000000000002</v>
      </c>
      <c r="F37" s="541">
        <v>67.113276492082832</v>
      </c>
    </row>
    <row r="38" spans="1:9" ht="24.95" customHeight="1">
      <c r="A38" s="725"/>
      <c r="B38" s="285" t="s">
        <v>128</v>
      </c>
      <c r="C38" s="55">
        <v>28</v>
      </c>
      <c r="D38" s="212">
        <f>COUNTIF(NORTE!A:A,"Gómez Plata")-COUNTIFS(NORTE!A:A,"Gómez Plata",NORTE!C:C,"")</f>
        <v>23</v>
      </c>
      <c r="E38" s="283">
        <v>785.76750000000004</v>
      </c>
      <c r="F38" s="541">
        <v>49.89</v>
      </c>
    </row>
    <row r="39" spans="1:9" ht="24.95" customHeight="1">
      <c r="A39" s="725"/>
      <c r="B39" s="285" t="s">
        <v>129</v>
      </c>
      <c r="C39" s="55">
        <v>21</v>
      </c>
      <c r="D39" s="212">
        <f>COUNTIF(NORTE!A:A,"Guadalupe")-COUNTIFS(NORTE!A:A,"Guadalupe",NORTE!C:C,"")</f>
        <v>14</v>
      </c>
      <c r="E39" s="283">
        <v>450.75300000000004</v>
      </c>
      <c r="F39" s="541">
        <v>34.700000000000003</v>
      </c>
    </row>
    <row r="40" spans="1:9" ht="24.95" customHeight="1">
      <c r="A40" s="725"/>
      <c r="B40" s="285" t="s">
        <v>130</v>
      </c>
      <c r="C40" s="55">
        <v>101</v>
      </c>
      <c r="D40" s="204">
        <f>COUNTIF(NORTE!A:A,"Ituango")-COUNTIFS(NORTE!A:A,"Ituango",NORTE!C:C,"")</f>
        <v>37</v>
      </c>
      <c r="E40" s="283">
        <v>1892.0000000000002</v>
      </c>
      <c r="F40" s="541">
        <v>46.543665436654372</v>
      </c>
    </row>
    <row r="41" spans="1:9" ht="24.95" customHeight="1">
      <c r="A41" s="725"/>
      <c r="B41" s="285" t="s">
        <v>131</v>
      </c>
      <c r="C41" s="55">
        <v>33</v>
      </c>
      <c r="D41" s="212">
        <f>COUNTIF(NORTE!A:A,"San Andrés de Cuerquia")-COUNTIFS(NORTE!A:A,"San Andrés de Cuerquia",NORTE!C:C,"")</f>
        <v>20</v>
      </c>
      <c r="E41" s="283">
        <v>187.94720000000001</v>
      </c>
      <c r="F41" s="541">
        <v>15.52</v>
      </c>
    </row>
    <row r="42" spans="1:9" ht="24.95" customHeight="1">
      <c r="A42" s="725"/>
      <c r="B42" s="285" t="s">
        <v>132</v>
      </c>
      <c r="C42" s="55">
        <v>8</v>
      </c>
      <c r="D42" s="212">
        <f>COUNTIF(NORTE!A:A,"San José de la Montaña")-COUNTIFS(NORTE!A:A,"San José de la Montaña",NORTE!C:C,"")</f>
        <v>4</v>
      </c>
      <c r="E42" s="283">
        <v>82.28479999999999</v>
      </c>
      <c r="F42" s="541">
        <v>22.36</v>
      </c>
    </row>
    <row r="43" spans="1:9" ht="24.95" customHeight="1">
      <c r="A43" s="725"/>
      <c r="B43" s="285" t="s">
        <v>133</v>
      </c>
      <c r="C43" s="55">
        <v>20</v>
      </c>
      <c r="D43" s="204">
        <f>COUNTIF(NORTE!A:A,"San Pedro De Los Milagros")-COUNTIFS(NORTE!A:A,"San Pedro De Los Milagros",NORTE!C:C,"")</f>
        <v>16</v>
      </c>
      <c r="E43" s="283">
        <v>2073</v>
      </c>
      <c r="F43" s="541">
        <v>73.745997865528281</v>
      </c>
    </row>
    <row r="44" spans="1:9" ht="24.95" customHeight="1">
      <c r="A44" s="725"/>
      <c r="B44" s="285" t="s">
        <v>134</v>
      </c>
      <c r="C44" s="55">
        <v>73</v>
      </c>
      <c r="D44" s="204">
        <f>COUNTIF(NORTE!A:A,"Santa Rosa De Osos")-COUNTIFS(NORTE!A:A,"Santa Rosa De Osos",NORTE!C:C,"")</f>
        <v>30</v>
      </c>
      <c r="E44" s="283">
        <v>1906</v>
      </c>
      <c r="F44" s="541">
        <v>40.691716481639624</v>
      </c>
    </row>
    <row r="45" spans="1:9" ht="24.95" customHeight="1">
      <c r="A45" s="725"/>
      <c r="B45" s="285" t="s">
        <v>135</v>
      </c>
      <c r="C45" s="55">
        <v>20</v>
      </c>
      <c r="D45" s="204">
        <f>COUNTIF(NORTE!A:A,"Toledo")-COUNTIFS(NORTE!A:A,"Toledo",NORTE!C:C,"")</f>
        <v>12</v>
      </c>
      <c r="E45" s="283">
        <v>662.73792394655698</v>
      </c>
      <c r="F45" s="541">
        <v>67.214799588900306</v>
      </c>
    </row>
    <row r="46" spans="1:9" ht="24.95" customHeight="1">
      <c r="A46" s="725"/>
      <c r="B46" s="285" t="s">
        <v>136</v>
      </c>
      <c r="C46" s="55">
        <v>36</v>
      </c>
      <c r="D46" s="204">
        <f>COUNTIF(NORTE!A:A,"Valdivia")-COUNTIFS(NORTE!A:A,"Valdivia",NORTE!C:C,"")</f>
        <v>8</v>
      </c>
      <c r="E46" s="283">
        <v>1545</v>
      </c>
      <c r="F46" s="541">
        <v>46.326836581709145</v>
      </c>
    </row>
    <row r="47" spans="1:9" ht="24.95" customHeight="1">
      <c r="A47" s="725"/>
      <c r="B47" s="285" t="s">
        <v>137</v>
      </c>
      <c r="C47" s="55">
        <v>52</v>
      </c>
      <c r="D47" s="212">
        <f>COUNTIF(NORTE!A:A,"Yarumal")-COUNTIFS(NORTE!A:A,"Yarumal",NORTE!C:C,"")</f>
        <v>12</v>
      </c>
      <c r="E47" s="283">
        <v>1504.3271999999999</v>
      </c>
      <c r="F47" s="541">
        <v>43.44</v>
      </c>
    </row>
    <row r="48" spans="1:9" ht="24.95" customHeight="1">
      <c r="A48" s="726"/>
      <c r="B48" s="286" t="s">
        <v>109</v>
      </c>
      <c r="C48" s="44">
        <f>SUM(C31:C47)</f>
        <v>570</v>
      </c>
      <c r="D48" s="44">
        <f>SUM(D31:D47)</f>
        <v>254</v>
      </c>
      <c r="E48" s="297">
        <f>SUM(E31:E47)</f>
        <v>16522.768223946558</v>
      </c>
      <c r="F48" s="394">
        <v>47.16</v>
      </c>
      <c r="I48" s="199"/>
    </row>
    <row r="49" spans="1:6" ht="24.95" customHeight="1">
      <c r="A49" s="725" t="s">
        <v>138</v>
      </c>
      <c r="B49" s="285" t="s">
        <v>3764</v>
      </c>
      <c r="C49" s="55">
        <v>12</v>
      </c>
      <c r="D49" s="212">
        <f>COUNTIF(OCCIDENTE!A:A, "Abriaquí")-COUNTIFS(OCCIDENTE!A:A,"Abriaquí",OCCIDENTE!C:C,"")</f>
        <v>7</v>
      </c>
      <c r="E49" s="283">
        <v>257.87520000000001</v>
      </c>
      <c r="F49" s="541">
        <v>44.77</v>
      </c>
    </row>
    <row r="50" spans="1:6" ht="24.95" customHeight="1">
      <c r="A50" s="725"/>
      <c r="B50" s="285" t="s">
        <v>3765</v>
      </c>
      <c r="C50" s="55">
        <v>17</v>
      </c>
      <c r="D50" s="212">
        <f>COUNTIF(OCCIDENTE!A:A, "Anzá")-COUNTIFS(OCCIDENTE!A:A,"Anzá",OCCIDENTE!C:C,"")</f>
        <v>19</v>
      </c>
      <c r="E50" s="283">
        <v>1234.9968000000001</v>
      </c>
      <c r="F50" s="541">
        <v>67.56</v>
      </c>
    </row>
    <row r="51" spans="1:6" ht="24.95" customHeight="1">
      <c r="A51" s="725"/>
      <c r="B51" s="285" t="s">
        <v>85</v>
      </c>
      <c r="C51" s="55">
        <v>10</v>
      </c>
      <c r="D51" s="55">
        <f>COUNTIF(OCCIDENTE!A:A, "Armenia")-COUNTIFS(OCCIDENTE!A:A,"Armenia",OCCIDENTE!C:C,"")</f>
        <v>4</v>
      </c>
      <c r="E51" s="283">
        <v>658.00800000000004</v>
      </c>
      <c r="F51" s="541">
        <v>57.72</v>
      </c>
    </row>
    <row r="52" spans="1:6" ht="24.95" customHeight="1">
      <c r="A52" s="725"/>
      <c r="B52" s="285" t="s">
        <v>2556</v>
      </c>
      <c r="C52" s="55">
        <v>36</v>
      </c>
      <c r="D52" s="209">
        <f>COUNTIF(OCCIDENTE!A:A, "Buriticá")-COUNTIFS(OCCIDENTE!A:A,"Buriticá",OCCIDENTE!C:C,"")</f>
        <v>39</v>
      </c>
      <c r="E52" s="283">
        <v>1598.5845000000002</v>
      </c>
      <c r="F52" s="541">
        <v>77.790000000000006</v>
      </c>
    </row>
    <row r="53" spans="1:6" ht="24.95" customHeight="1">
      <c r="A53" s="725"/>
      <c r="B53" s="285" t="s">
        <v>146</v>
      </c>
      <c r="C53" s="55">
        <v>61</v>
      </c>
      <c r="D53" s="209">
        <f>COUNTIF(OCCIDENTE!A:A, "Caicedo")-COUNTIFS(OCCIDENTE!A:A,"Caicedo",OCCIDENTE!C:C,"")</f>
        <v>15</v>
      </c>
      <c r="E53" s="283">
        <v>1413.0441000000001</v>
      </c>
      <c r="F53" s="541">
        <v>69.03</v>
      </c>
    </row>
    <row r="54" spans="1:6" ht="24.95" customHeight="1">
      <c r="A54" s="725"/>
      <c r="B54" s="285" t="s">
        <v>229</v>
      </c>
      <c r="C54" s="55">
        <v>98</v>
      </c>
      <c r="D54" s="209">
        <f>COUNTIF(OCCIDENTE!A:A, "Cañasgordas")-COUNTIFS(OCCIDENTE!A:A,"Cañasgordas",OCCIDENTE!C:C,"")</f>
        <v>55</v>
      </c>
      <c r="E54" s="283">
        <v>1811.9999999999998</v>
      </c>
      <c r="F54" s="541">
        <v>57.432646592709979</v>
      </c>
    </row>
    <row r="55" spans="1:6" ht="24.95" customHeight="1">
      <c r="A55" s="725"/>
      <c r="B55" s="285" t="s">
        <v>143</v>
      </c>
      <c r="C55" s="55">
        <v>33</v>
      </c>
      <c r="D55" s="212">
        <f>COUNTIF(OCCIDENTE!A:A, "Dabeiba")-COUNTIFS(OCCIDENTE!A:A,"Dabeiba",OCCIDENTE!C:C,"")</f>
        <v>29</v>
      </c>
      <c r="E55" s="283">
        <v>623.25149999999996</v>
      </c>
      <c r="F55" s="541">
        <v>16.95</v>
      </c>
    </row>
    <row r="56" spans="1:6" ht="24.95" customHeight="1">
      <c r="A56" s="725"/>
      <c r="B56" s="285" t="s">
        <v>3766</v>
      </c>
      <c r="C56" s="55">
        <v>52</v>
      </c>
      <c r="D56" s="212">
        <f>COUNTIF(OCCIDENTE!A:A, "Ebéjico")-COUNTIFS(OCCIDENTE!A:A,"Ebéjico",OCCIDENTE!C:C,"")</f>
        <v>32</v>
      </c>
      <c r="E56" s="283">
        <v>3113.2483999999995</v>
      </c>
      <c r="F56" s="541">
        <v>88.52</v>
      </c>
    </row>
    <row r="57" spans="1:6" ht="24.95" customHeight="1">
      <c r="A57" s="725"/>
      <c r="B57" s="285" t="s">
        <v>145</v>
      </c>
      <c r="C57" s="55">
        <v>19</v>
      </c>
      <c r="D57" s="212">
        <f>COUNTIF(OCCIDENTE!A:A, "Frontino")-COUNTIFS(OCCIDENTE!A:A,"Frontino",OCCIDENTE!C:C,"")</f>
        <v>41</v>
      </c>
      <c r="E57" s="283">
        <v>1433.1192999999998</v>
      </c>
      <c r="F57" s="541">
        <v>47.47</v>
      </c>
    </row>
    <row r="58" spans="1:6" ht="24.95" customHeight="1">
      <c r="A58" s="725"/>
      <c r="B58" s="285" t="s">
        <v>147</v>
      </c>
      <c r="C58" s="55">
        <v>15</v>
      </c>
      <c r="D58" s="55">
        <f>COUNTIF(OCCIDENTE!A:A, "Giraldo")-COUNTIFS(OCCIDENTE!A:A,"Giraldo",OCCIDENTE!C:C,"")</f>
        <v>23</v>
      </c>
      <c r="E58" s="283">
        <v>840.2106</v>
      </c>
      <c r="F58" s="541">
        <v>79.34</v>
      </c>
    </row>
    <row r="59" spans="1:6" ht="24.95" customHeight="1">
      <c r="A59" s="725"/>
      <c r="B59" s="285" t="s">
        <v>148</v>
      </c>
      <c r="C59" s="55">
        <v>18</v>
      </c>
      <c r="D59" s="55">
        <f>COUNTIF(OCCIDENTE!A:A, "Heliconia")-COUNTIFS(OCCIDENTE!A:A,"Heliconia",OCCIDENTE!C:C,"")</f>
        <v>18</v>
      </c>
      <c r="E59" s="283">
        <v>894.10500000000002</v>
      </c>
      <c r="F59" s="541">
        <v>89.5</v>
      </c>
    </row>
    <row r="60" spans="1:6" ht="24.95" customHeight="1">
      <c r="A60" s="725"/>
      <c r="B60" s="285" t="s">
        <v>149</v>
      </c>
      <c r="C60" s="55">
        <v>37</v>
      </c>
      <c r="D60" s="226">
        <f>COUNTIF(OCCIDENTE!A:A, "Liborina")-COUNTIFS(OCCIDENTE!A:A,"Liborina",OCCIDENTE!C:C,"")</f>
        <v>35</v>
      </c>
      <c r="E60" s="283">
        <v>1978.1375000000003</v>
      </c>
      <c r="F60" s="541">
        <v>83.29</v>
      </c>
    </row>
    <row r="61" spans="1:6" ht="24.95" customHeight="1">
      <c r="A61" s="725"/>
      <c r="B61" s="285" t="s">
        <v>2999</v>
      </c>
      <c r="C61" s="55">
        <v>11</v>
      </c>
      <c r="D61" s="212">
        <f>COUNTIF(OCCIDENTE!A:A, "Olaya")-COUNTIFS(OCCIDENTE!A:A,"Olaya",OCCIDENTE!C:C,"")</f>
        <v>7</v>
      </c>
      <c r="E61" s="283">
        <v>907.41519999999991</v>
      </c>
      <c r="F61" s="541">
        <v>90.38</v>
      </c>
    </row>
    <row r="62" spans="1:6" ht="24.95" customHeight="1">
      <c r="A62" s="725"/>
      <c r="B62" s="285" t="s">
        <v>151</v>
      </c>
      <c r="C62" s="55">
        <v>36</v>
      </c>
      <c r="D62" s="55">
        <f>COUNTIF(OCCIDENTE!A:A, "Peque")-COUNTIFS(OCCIDENTE!A:A,"Peque",OCCIDENTE!C:C,"")</f>
        <v>36</v>
      </c>
      <c r="E62" s="283">
        <v>1501.1969999999999</v>
      </c>
      <c r="F62" s="541">
        <v>93.3</v>
      </c>
    </row>
    <row r="63" spans="1:6" ht="24.95" customHeight="1">
      <c r="A63" s="725"/>
      <c r="B63" s="285" t="s">
        <v>152</v>
      </c>
      <c r="C63" s="55">
        <v>32</v>
      </c>
      <c r="D63" s="55">
        <f>COUNTIF(OCCIDENTE!A:A, "Sabanalarga")-COUNTIFS(OCCIDENTE!A:A,"Sabanalarga",OCCIDENTE!C:C,"")</f>
        <v>26</v>
      </c>
      <c r="E63" s="283">
        <v>1099.8063999999999</v>
      </c>
      <c r="F63" s="541">
        <v>60.83</v>
      </c>
    </row>
    <row r="64" spans="1:6" ht="24.95" customHeight="1">
      <c r="A64" s="725"/>
      <c r="B64" s="285" t="s">
        <v>153</v>
      </c>
      <c r="C64" s="55">
        <v>37</v>
      </c>
      <c r="D64" s="212">
        <f>COUNTIF(OCCIDENTE!A:A, "San Jerónimo")-COUNTIFS(OCCIDENTE!A:A,"San Jerónimo",OCCIDENTE!C:C,"")</f>
        <v>28</v>
      </c>
      <c r="E64" s="283">
        <v>1881.8304000000001</v>
      </c>
      <c r="F64" s="541">
        <v>68.48</v>
      </c>
    </row>
    <row r="65" spans="1:6" ht="24.95" customHeight="1">
      <c r="A65" s="725"/>
      <c r="B65" s="285" t="s">
        <v>3131</v>
      </c>
      <c r="C65" s="55">
        <v>42</v>
      </c>
      <c r="D65" s="212">
        <f>COUNTIF(OCCIDENTE!A:A, "Santafe de Antioquia")-COUNTIFS(OCCIDENTE!A:A,"Santafe de Antioquia",OCCIDENTE!C:C,"")</f>
        <v>37</v>
      </c>
      <c r="E65" s="283">
        <v>2257</v>
      </c>
      <c r="F65" s="541">
        <v>78.422515635858232</v>
      </c>
    </row>
    <row r="66" spans="1:6" ht="24.95" customHeight="1">
      <c r="A66" s="725"/>
      <c r="B66" s="285" t="s">
        <v>3879</v>
      </c>
      <c r="C66" s="55">
        <v>31</v>
      </c>
      <c r="D66" s="212">
        <f>COUNTIF(OCCIDENTE!A:A, "Sopetrán")-COUNTIFS(OCCIDENTE!A:A,"Sopetrán",OCCIDENTE!C:C,"")</f>
        <v>27</v>
      </c>
      <c r="E66" s="283">
        <v>2333.6009000000004</v>
      </c>
      <c r="F66" s="541">
        <v>78.23</v>
      </c>
    </row>
    <row r="67" spans="1:6" ht="24.95" customHeight="1">
      <c r="A67" s="726"/>
      <c r="B67" s="285" t="s">
        <v>156</v>
      </c>
      <c r="C67" s="55">
        <v>42</v>
      </c>
      <c r="D67" s="212">
        <f>COUNTIF(OCCIDENTE!A:A, "Uramita")-COUNTIFS(OCCIDENTE!A:A,"Uramita",OCCIDENTE!C:C,"")</f>
        <v>15</v>
      </c>
      <c r="E67" s="283">
        <v>354.14520000000005</v>
      </c>
      <c r="F67" s="541">
        <v>25.26</v>
      </c>
    </row>
    <row r="68" spans="1:6" ht="24.95" customHeight="1">
      <c r="A68" s="726"/>
      <c r="B68" s="286" t="s">
        <v>109</v>
      </c>
      <c r="C68" s="44">
        <f>SUM(C49:C67)</f>
        <v>639</v>
      </c>
      <c r="D68" s="44">
        <f>SUM(D49:D67)</f>
        <v>493</v>
      </c>
      <c r="E68" s="297">
        <f>SUM(E49:E67)</f>
        <v>26191.576000000001</v>
      </c>
      <c r="F68" s="394">
        <v>65.680000000000007</v>
      </c>
    </row>
    <row r="69" spans="1:6" ht="24.95" customHeight="1">
      <c r="A69" s="725" t="s">
        <v>157</v>
      </c>
      <c r="B69" s="285" t="s">
        <v>3767</v>
      </c>
      <c r="C69" s="55">
        <v>21</v>
      </c>
      <c r="D69" s="212">
        <f>COUNTIF(SUROESTE!A:A, "Amagá")-COUNTIFS(SUROESTE!A:A,"Amagá",SUROESTE!C:C,"")</f>
        <v>34</v>
      </c>
      <c r="E69" s="283">
        <v>4790.7132000000001</v>
      </c>
      <c r="F69" s="540">
        <v>92.36</v>
      </c>
    </row>
    <row r="70" spans="1:6" ht="24.95" customHeight="1">
      <c r="A70" s="725"/>
      <c r="B70" s="285" t="s">
        <v>159</v>
      </c>
      <c r="C70" s="55">
        <v>62</v>
      </c>
      <c r="D70" s="55">
        <f>COUNTIF(SUROESTE!A:A, "Andes")-COUNTIFS(SUROESTE!A:A,"Andes",SUROESTE!C:C,"")</f>
        <v>56</v>
      </c>
      <c r="E70" s="283">
        <v>2611.4792000000002</v>
      </c>
      <c r="F70" s="540">
        <v>36.74</v>
      </c>
    </row>
    <row r="71" spans="1:6" ht="24.95" customHeight="1">
      <c r="A71" s="725"/>
      <c r="B71" s="285" t="s">
        <v>3768</v>
      </c>
      <c r="C71" s="55">
        <v>12</v>
      </c>
      <c r="D71" s="212">
        <f>COUNTIF(SUROESTE!A:A, "Angelópolis")-COUNTIFS(SUROESTE!A:A,"Angelópolis",SUROESTE!C:C,"")</f>
        <v>12</v>
      </c>
      <c r="E71" s="283">
        <v>941.57159999999988</v>
      </c>
      <c r="F71" s="540">
        <v>81.239999999999995</v>
      </c>
    </row>
    <row r="72" spans="1:6" ht="24.95" customHeight="1">
      <c r="A72" s="725"/>
      <c r="B72" s="285" t="s">
        <v>160</v>
      </c>
      <c r="C72" s="55">
        <v>27</v>
      </c>
      <c r="D72" s="55">
        <f>COUNTIF(SUROESTE!A:A, "Betania")-COUNTIFS(SUROESTE!A:A,"Betania",SUROESTE!C:C,"")</f>
        <v>20</v>
      </c>
      <c r="E72" s="283">
        <v>444.07480000000004</v>
      </c>
      <c r="F72" s="540">
        <v>24.44</v>
      </c>
    </row>
    <row r="73" spans="1:6" ht="24.95" customHeight="1">
      <c r="A73" s="725"/>
      <c r="B73" s="285" t="s">
        <v>46</v>
      </c>
      <c r="C73" s="55">
        <v>41</v>
      </c>
      <c r="D73" s="55">
        <f>COUNTIF(SUROESTE!A:A, "Betulia")-COUNTIFS(SUROESTE!A:A,"Betulia",SUROESTE!C:C,"")</f>
        <v>28</v>
      </c>
      <c r="E73" s="283">
        <v>2131.8000000000002</v>
      </c>
      <c r="F73" s="540">
        <v>62.7</v>
      </c>
    </row>
    <row r="74" spans="1:6" ht="24.95" customHeight="1">
      <c r="A74" s="725"/>
      <c r="B74" s="285" t="s">
        <v>161</v>
      </c>
      <c r="C74" s="55">
        <v>23</v>
      </c>
      <c r="D74" s="212">
        <f>COUNTIF(SUROESTE!A:A, "Caramanta")-COUNTIFS(SUROESTE!A:A,"Caramanta",SUROESTE!C:C,"")</f>
        <v>16</v>
      </c>
      <c r="E74" s="283">
        <v>496.5471</v>
      </c>
      <c r="F74" s="540">
        <v>61.53</v>
      </c>
    </row>
    <row r="75" spans="1:6" ht="24.95" customHeight="1">
      <c r="A75" s="725"/>
      <c r="B75" s="285" t="s">
        <v>162</v>
      </c>
      <c r="C75" s="55">
        <v>18</v>
      </c>
      <c r="D75" s="212">
        <f>COUNTIF(SUROESTE!A:A, "Ciudad Bolívar")-COUNTIFS(SUROESTE!A:A,"Ciudad Bolívar",SUROESTE!C:C,"")</f>
        <v>17</v>
      </c>
      <c r="E75" s="283">
        <v>1218.6686514886164</v>
      </c>
      <c r="F75" s="540">
        <v>43.047285464098074</v>
      </c>
    </row>
    <row r="76" spans="1:6" ht="24.95" customHeight="1">
      <c r="A76" s="725"/>
      <c r="B76" s="285" t="s">
        <v>163</v>
      </c>
      <c r="C76" s="55">
        <v>24</v>
      </c>
      <c r="D76" s="55">
        <f>COUNTIF(SUROESTE!A:A, "Concordia")-COUNTIFS(SUROESTE!A:A,"Concordia",SUROESTE!C:C,"")</f>
        <v>21</v>
      </c>
      <c r="E76" s="283">
        <v>1501.3714285714284</v>
      </c>
      <c r="F76" s="540">
        <v>35.510204081632651</v>
      </c>
    </row>
    <row r="77" spans="1:6" ht="24.95" customHeight="1">
      <c r="A77" s="725"/>
      <c r="B77" s="285" t="s">
        <v>164</v>
      </c>
      <c r="C77" s="55">
        <v>36</v>
      </c>
      <c r="D77" s="55">
        <f>COUNTIF(SUROESTE!A:A, "Fredonia")-COUNTIFS(SUROESTE!A:A,"Fredonia",SUROESTE!C:C,"")</f>
        <v>36</v>
      </c>
      <c r="E77" s="283">
        <v>4172.7244000000001</v>
      </c>
      <c r="F77" s="540">
        <v>72.28</v>
      </c>
    </row>
    <row r="78" spans="1:6" ht="24.95" customHeight="1">
      <c r="A78" s="725"/>
      <c r="B78" s="285" t="s">
        <v>165</v>
      </c>
      <c r="C78" s="55">
        <v>11</v>
      </c>
      <c r="D78" s="55">
        <f>COUNTIF(SUROESTE!A:A, "Hispania")-COUNTIFS(SUROESTE!A:A,"Hispania",SUROESTE!C:C,"")</f>
        <v>9</v>
      </c>
      <c r="E78" s="283">
        <v>125.51039999999999</v>
      </c>
      <c r="F78" s="540">
        <v>21.79</v>
      </c>
    </row>
    <row r="79" spans="1:6" ht="24.95" customHeight="1">
      <c r="A79" s="725"/>
      <c r="B79" s="285" t="s">
        <v>166</v>
      </c>
      <c r="C79" s="55">
        <v>21</v>
      </c>
      <c r="D79" s="212">
        <f>COUNTIF(SUROESTE!A:A, "Jardín")-COUNTIFS(SUROESTE!A:A,"Jardín",SUROESTE!C:C,"")</f>
        <v>23</v>
      </c>
      <c r="E79" s="283">
        <v>1068.5247999999999</v>
      </c>
      <c r="F79" s="540">
        <v>56.12</v>
      </c>
    </row>
    <row r="80" spans="1:6" ht="24.95" customHeight="1">
      <c r="A80" s="725"/>
      <c r="B80" s="285" t="s">
        <v>167</v>
      </c>
      <c r="C80" s="55">
        <v>31</v>
      </c>
      <c r="D80" s="212">
        <f>COUNTIF(SUROESTE!A:A, "Jericó")-COUNTIFS(SUROESTE!A:A,"Jericó",SUROESTE!C:C,"")</f>
        <v>25</v>
      </c>
      <c r="E80" s="283">
        <v>1241.0000000000002</v>
      </c>
      <c r="F80" s="540">
        <v>70.112994350282491</v>
      </c>
    </row>
    <row r="81" spans="1:6" ht="24.95" customHeight="1">
      <c r="A81" s="725"/>
      <c r="B81" s="285" t="s">
        <v>168</v>
      </c>
      <c r="C81" s="55">
        <v>3</v>
      </c>
      <c r="D81" s="212">
        <f>COUNTIF(SUROESTE!A:A, "La Pintada")-COUNTIFS(SUROESTE!A:A,"La Pintada",SUROESTE!C:C,"")</f>
        <v>0</v>
      </c>
      <c r="E81" s="283">
        <v>185.85599999999999</v>
      </c>
      <c r="F81" s="540">
        <v>72.599999999999994</v>
      </c>
    </row>
    <row r="82" spans="1:6" ht="24.95" customHeight="1">
      <c r="A82" s="725"/>
      <c r="B82" s="285" t="s">
        <v>169</v>
      </c>
      <c r="C82" s="55">
        <v>24</v>
      </c>
      <c r="D82" s="212">
        <f>COUNTIF(SUROESTE!A:A, "Montebello")-COUNTIFS(SUROESTE!A:A,"Montebello",SUROESTE!C:C,"")</f>
        <v>18</v>
      </c>
      <c r="E82" s="283">
        <v>667</v>
      </c>
      <c r="F82" s="540">
        <v>43.424479166666671</v>
      </c>
    </row>
    <row r="83" spans="1:6" ht="24.95" customHeight="1">
      <c r="A83" s="725"/>
      <c r="B83" s="285" t="s">
        <v>170</v>
      </c>
      <c r="C83" s="55">
        <v>20</v>
      </c>
      <c r="D83" s="55">
        <f>COUNTIF(SUROESTE!A:A, "Pueblorrico")-COUNTIFS(SUROESTE!A:A,"Pueblorrico",SUROESTE!C:C,"")</f>
        <v>6</v>
      </c>
      <c r="E83" s="283">
        <v>220.4343003412969</v>
      </c>
      <c r="F83" s="540">
        <v>18.856655290102388</v>
      </c>
    </row>
    <row r="84" spans="1:6" ht="24.95" customHeight="1">
      <c r="A84" s="725"/>
      <c r="B84" s="285" t="s">
        <v>171</v>
      </c>
      <c r="C84" s="55">
        <v>32</v>
      </c>
      <c r="D84" s="212">
        <f>COUNTIF(SUROESTE!A:A, "Salgar")-COUNTIFS(SUROESTE!A:A,"Salgar",SUROESTE!C:C,"")</f>
        <v>26</v>
      </c>
      <c r="E84" s="283">
        <v>1235</v>
      </c>
      <c r="F84" s="540">
        <v>35.255495289751643</v>
      </c>
    </row>
    <row r="85" spans="1:6" ht="24.95" customHeight="1">
      <c r="A85" s="725"/>
      <c r="B85" s="285" t="s">
        <v>172</v>
      </c>
      <c r="C85" s="55">
        <v>42</v>
      </c>
      <c r="D85" s="212">
        <f>COUNTIF(SUROESTE!A:A, "Santa Bárbara")-COUNTIFS(SUROESTE!A:A,"Santa Bárbara",SUROESTE!C:C,"")</f>
        <v>41</v>
      </c>
      <c r="E85" s="283">
        <v>3565.8326000000002</v>
      </c>
      <c r="F85" s="540">
        <v>74.180000000000007</v>
      </c>
    </row>
    <row r="86" spans="1:6" ht="24.95" customHeight="1">
      <c r="A86" s="725"/>
      <c r="B86" s="285" t="s">
        <v>173</v>
      </c>
      <c r="C86" s="55">
        <v>37</v>
      </c>
      <c r="D86" s="212">
        <f>COUNTIF(SUROESTE!A:A, "Támesis")-COUNTIFS(SUROESTE!A:A,"Támesis",SUROESTE!C:C,"")</f>
        <v>33</v>
      </c>
      <c r="E86" s="283">
        <v>2005</v>
      </c>
      <c r="F86" s="540">
        <v>70.698166431593791</v>
      </c>
    </row>
    <row r="87" spans="1:6" ht="24.95" customHeight="1">
      <c r="A87" s="725"/>
      <c r="B87" s="285" t="s">
        <v>174</v>
      </c>
      <c r="C87" s="55">
        <v>16</v>
      </c>
      <c r="D87" s="55">
        <f>COUNTIF(SUROESTE!A:A, "Tarso")-COUNTIFS(SUROESTE!A:A,"Tarso",SUROESTE!C:C,"")</f>
        <v>13</v>
      </c>
      <c r="E87" s="283">
        <v>513.99720000000002</v>
      </c>
      <c r="F87" s="540">
        <v>63.93</v>
      </c>
    </row>
    <row r="88" spans="1:6" ht="24.95" customHeight="1">
      <c r="A88" s="725"/>
      <c r="B88" s="285" t="s">
        <v>175</v>
      </c>
      <c r="C88" s="55">
        <v>18</v>
      </c>
      <c r="D88" s="212">
        <f>COUNTIF(SUROESTE!A:A, "Titiribí")-COUNTIFS(SUROESTE!A:A,"Titiribí",SUROESTE!C:C,"")</f>
        <v>23</v>
      </c>
      <c r="E88" s="283">
        <v>1503.8890392422193</v>
      </c>
      <c r="F88" s="540">
        <v>80.378890392422193</v>
      </c>
    </row>
    <row r="89" spans="1:6" ht="24.95" customHeight="1">
      <c r="A89" s="725"/>
      <c r="B89" s="285" t="s">
        <v>176</v>
      </c>
      <c r="C89" s="55">
        <v>55</v>
      </c>
      <c r="D89" s="55">
        <f>COUNTIF(SUROESTE!A:A, "Urrao")-COUNTIFS(SUROESTE!A:A,"Urrao",SUROESTE!C:C,"")</f>
        <v>27</v>
      </c>
      <c r="E89" s="283">
        <v>1524.0687</v>
      </c>
      <c r="F89" s="540">
        <v>38.81</v>
      </c>
    </row>
    <row r="90" spans="1:6" ht="24.95" customHeight="1">
      <c r="A90" s="725"/>
      <c r="B90" s="285" t="s">
        <v>177</v>
      </c>
      <c r="C90" s="55">
        <v>22</v>
      </c>
      <c r="D90" s="212">
        <f>COUNTIF(SUROESTE!A:A, "Valparaíso")-COUNTIFS(SUROESTE!A:A,"Valparaíso",SUROESTE!C:C,"")</f>
        <v>15</v>
      </c>
      <c r="E90" s="283">
        <v>695.64700000000016</v>
      </c>
      <c r="F90" s="540">
        <v>77.900000000000006</v>
      </c>
    </row>
    <row r="91" spans="1:6" ht="24.95" customHeight="1">
      <c r="A91" s="725"/>
      <c r="B91" s="285" t="s">
        <v>178</v>
      </c>
      <c r="C91" s="55">
        <v>17</v>
      </c>
      <c r="D91" s="212">
        <f>COUNTIF(SUROESTE!A:A, "Venecia")-COUNTIFS(SUROESTE!A:A,"Venecia",SUROESTE!C:C,"")</f>
        <v>11</v>
      </c>
      <c r="E91" s="283">
        <v>1806.549</v>
      </c>
      <c r="F91" s="540">
        <v>84.3</v>
      </c>
    </row>
    <row r="92" spans="1:6" ht="24.95" customHeight="1">
      <c r="A92" s="726"/>
      <c r="B92" s="286" t="s">
        <v>109</v>
      </c>
      <c r="C92" s="44">
        <f>SUM(C69:C91)</f>
        <v>613</v>
      </c>
      <c r="D92" s="44">
        <f>SUM(D69:D91)</f>
        <v>510</v>
      </c>
      <c r="E92" s="297">
        <f>SUM(E69:E91)</f>
        <v>34667.25941964356</v>
      </c>
      <c r="F92" s="394">
        <v>57.49</v>
      </c>
    </row>
    <row r="93" spans="1:6" ht="24.95" customHeight="1">
      <c r="A93" s="725" t="s">
        <v>179</v>
      </c>
      <c r="B93" s="285" t="s">
        <v>181</v>
      </c>
      <c r="C93" s="55">
        <v>45</v>
      </c>
      <c r="D93" s="212">
        <f>COUNTIF('BAJO CAUCA'!A:A, "Caceres")-COUNTIFS('BAJO CAUCA'!A:A,"Caceres",'BAJO CAUCA'!C:C,"")</f>
        <v>7</v>
      </c>
      <c r="E93" s="282">
        <v>1390.9147</v>
      </c>
      <c r="F93" s="540">
        <v>19.93</v>
      </c>
    </row>
    <row r="94" spans="1:6" ht="24.95" customHeight="1">
      <c r="A94" s="725"/>
      <c r="B94" s="285" t="s">
        <v>180</v>
      </c>
      <c r="C94" s="55">
        <v>44</v>
      </c>
      <c r="D94" s="212">
        <f>COUNTIF('BAJO CAUCA'!A:A, "Caucasia")-COUNTIFS('BAJO CAUCA'!A:A,"Caucasia",'BAJO CAUCA'!C:C,"")</f>
        <v>19</v>
      </c>
      <c r="E94" s="282">
        <v>922.45440000000008</v>
      </c>
      <c r="F94" s="540">
        <v>29.68</v>
      </c>
    </row>
    <row r="95" spans="1:6" ht="24.95" customHeight="1">
      <c r="A95" s="725"/>
      <c r="B95" s="285" t="s">
        <v>182</v>
      </c>
      <c r="C95" s="55">
        <v>53</v>
      </c>
      <c r="D95" s="55">
        <f>COUNTIF('BAJO CAUCA'!A:A, "El Bagre")-COUNTIFS('BAJO CAUCA'!A:A,"El Bagre",'BAJO CAUCA'!C:C,"")</f>
        <v>4</v>
      </c>
      <c r="E95" s="282">
        <v>2135</v>
      </c>
      <c r="F95" s="540">
        <v>43.651604988754855</v>
      </c>
    </row>
    <row r="96" spans="1:6" ht="24.95" customHeight="1">
      <c r="A96" s="725"/>
      <c r="B96" s="285" t="s">
        <v>3770</v>
      </c>
      <c r="C96" s="55">
        <v>52</v>
      </c>
      <c r="D96" s="212">
        <f>COUNTIF('BAJO CAUCA'!A:A, "Nechí")-COUNTIFS('BAJO CAUCA'!A:A,"Nechí",'BAJO CAUCA'!C:C,"")</f>
        <v>3</v>
      </c>
      <c r="E96" s="282">
        <v>461.51</v>
      </c>
      <c r="F96" s="540">
        <v>13.3</v>
      </c>
    </row>
    <row r="97" spans="1:6" ht="24.95" customHeight="1">
      <c r="A97" s="725"/>
      <c r="B97" s="285" t="s">
        <v>183</v>
      </c>
      <c r="C97" s="55">
        <v>42</v>
      </c>
      <c r="D97" s="212">
        <f>COUNTIF('BAJO CAUCA'!A:A, "Tarazá")-COUNTIFS('BAJO CAUCA'!A:A,"Tarazá",'BAJO CAUCA'!C:C,"")</f>
        <v>9</v>
      </c>
      <c r="E97" s="282">
        <v>2688.6279</v>
      </c>
      <c r="F97" s="540">
        <v>60.87</v>
      </c>
    </row>
    <row r="98" spans="1:6" ht="24.95" customHeight="1">
      <c r="A98" s="725"/>
      <c r="B98" s="285" t="s">
        <v>184</v>
      </c>
      <c r="C98" s="55">
        <v>66</v>
      </c>
      <c r="D98" s="212">
        <f>COUNTIF('BAJO CAUCA'!A:A, "Zaragoza")-COUNTIFS('BAJO CAUCA'!A:A,"Zaragoza",'BAJO CAUCA'!C:C,"")</f>
        <v>15</v>
      </c>
      <c r="E98" s="282">
        <v>599.058552631579</v>
      </c>
      <c r="F98" s="540">
        <v>14.835526315789474</v>
      </c>
    </row>
    <row r="99" spans="1:6" ht="24.95" customHeight="1">
      <c r="A99" s="726"/>
      <c r="B99" s="286" t="s">
        <v>109</v>
      </c>
      <c r="C99" s="44">
        <f>SUM(C93:C98)</f>
        <v>302</v>
      </c>
      <c r="D99" s="44">
        <f>SUM(D93:D98)</f>
        <v>57</v>
      </c>
      <c r="E99" s="297">
        <f>SUM(E93:E98)</f>
        <v>8197.5655526315786</v>
      </c>
      <c r="F99" s="394">
        <v>30.47</v>
      </c>
    </row>
    <row r="100" spans="1:6" ht="24.95" customHeight="1">
      <c r="A100" s="725" t="s">
        <v>185</v>
      </c>
      <c r="B100" s="285" t="s">
        <v>186</v>
      </c>
      <c r="C100" s="55">
        <v>15</v>
      </c>
      <c r="D100" s="212">
        <f>COUNTIF('MAGDALENA MEDIO'!A:A, "Caracolí")-COUNTIFS('MAGDALENA MEDIO'!A:A,"Caracolí",'MAGDALENA MEDIO'!C:C,"")</f>
        <v>9</v>
      </c>
      <c r="E100" s="284">
        <v>361.50840000000005</v>
      </c>
      <c r="F100" s="541">
        <v>59.07</v>
      </c>
    </row>
    <row r="101" spans="1:6" ht="24.95" customHeight="1">
      <c r="A101" s="725"/>
      <c r="B101" s="285" t="s">
        <v>187</v>
      </c>
      <c r="C101" s="55">
        <v>23</v>
      </c>
      <c r="D101" s="55">
        <f>COUNTIF('MAGDALENA MEDIO'!A:A, "Maceo")-COUNTIFS('MAGDALENA MEDIO'!A:A,"Maceo",'MAGDALENA MEDIO'!C:C,"")</f>
        <v>6</v>
      </c>
      <c r="E101" s="284">
        <v>862.14199999999994</v>
      </c>
      <c r="F101" s="541">
        <v>50.3</v>
      </c>
    </row>
    <row r="102" spans="1:6" ht="24.95" customHeight="1">
      <c r="A102" s="725"/>
      <c r="B102" s="285" t="s">
        <v>3771</v>
      </c>
      <c r="C102" s="55">
        <v>21</v>
      </c>
      <c r="D102" s="212">
        <f>COUNTIF('MAGDALENA MEDIO'!A:A, "Puerto Berrío")-COUNTIFS('MAGDALENA MEDIO'!A:A,"Puerto Berrío",'MAGDALENA MEDIO'!C:C,"")</f>
        <v>15</v>
      </c>
      <c r="E102" s="284">
        <v>1142.5779</v>
      </c>
      <c r="F102" s="541">
        <v>61.33</v>
      </c>
    </row>
    <row r="103" spans="1:6" ht="24.95" customHeight="1">
      <c r="A103" s="725"/>
      <c r="B103" s="285" t="s">
        <v>189</v>
      </c>
      <c r="C103" s="55">
        <v>25</v>
      </c>
      <c r="D103" s="55">
        <f>COUNTIF('MAGDALENA MEDIO'!A:A, "Puerto Nare")-COUNTIFS('MAGDALENA MEDIO'!A:A,"Puerto Nare",'MAGDALENA MEDIO'!C:C,"")</f>
        <v>7</v>
      </c>
      <c r="E103" s="284">
        <v>2668.5120000000002</v>
      </c>
      <c r="F103" s="541">
        <v>79.42</v>
      </c>
    </row>
    <row r="104" spans="1:6" ht="24.95" customHeight="1">
      <c r="A104" s="725"/>
      <c r="B104" s="285" t="s">
        <v>54</v>
      </c>
      <c r="C104" s="55">
        <v>12</v>
      </c>
      <c r="D104" s="55">
        <f>COUNTIF('MAGDALENA MEDIO'!A:A, "Puerto Triunfo")-COUNTIFS('MAGDALENA MEDIO'!A:A,"Puerto Triunfo",'MAGDALENA MEDIO'!C:C,"")</f>
        <v>11</v>
      </c>
      <c r="E104" s="284">
        <v>4225.6699029126212</v>
      </c>
      <c r="F104" s="541">
        <v>95.452222789984674</v>
      </c>
    </row>
    <row r="105" spans="1:6" ht="24.95" customHeight="1">
      <c r="A105" s="725"/>
      <c r="B105" s="285" t="s">
        <v>3772</v>
      </c>
      <c r="C105" s="55">
        <v>60</v>
      </c>
      <c r="D105" s="212">
        <f>COUNTIF('MAGDALENA MEDIO'!A:A, "Yondó")-COUNTIFS('MAGDALENA MEDIO'!A:A,"Yondó",'MAGDALENA MEDIO'!C:C,"")</f>
        <v>27</v>
      </c>
      <c r="E105" s="284">
        <v>1454.3527999999999</v>
      </c>
      <c r="F105" s="541">
        <v>52.09</v>
      </c>
    </row>
    <row r="106" spans="1:6" ht="24.95" customHeight="1">
      <c r="A106" s="726"/>
      <c r="B106" s="286" t="s">
        <v>109</v>
      </c>
      <c r="C106" s="44">
        <f>SUM(C100:C105)</f>
        <v>156</v>
      </c>
      <c r="D106" s="44">
        <f>SUM(D100:D105)</f>
        <v>75</v>
      </c>
      <c r="E106" s="297">
        <f>SUM(E100:E105)</f>
        <v>10714.763002912621</v>
      </c>
      <c r="F106" s="394">
        <v>72.55</v>
      </c>
    </row>
    <row r="107" spans="1:6" ht="24.95" customHeight="1">
      <c r="A107" s="725" t="s">
        <v>191</v>
      </c>
      <c r="B107" s="285" t="s">
        <v>192</v>
      </c>
      <c r="C107" s="55">
        <v>52</v>
      </c>
      <c r="D107" s="55">
        <f>COUNTIF(NORDESTE!A:A, "Amalfi")-COUNTIFS(NORDESTE!A:A,"Amalfi",NORDESTE!C:C,"")</f>
        <v>6</v>
      </c>
      <c r="E107" s="283">
        <v>251.00000000000003</v>
      </c>
      <c r="F107" s="540">
        <v>6.8373740125306464</v>
      </c>
    </row>
    <row r="108" spans="1:6" ht="24.95" customHeight="1">
      <c r="A108" s="725"/>
      <c r="B108" s="285" t="s">
        <v>3773</v>
      </c>
      <c r="C108" s="55">
        <v>52</v>
      </c>
      <c r="D108" s="212">
        <f>COUNTIF(NORDESTE!A:A, "Anorí")-COUNTIFS(NORDESTE!A:A,"Anorí",NORDESTE!C:C,"")</f>
        <v>3</v>
      </c>
      <c r="E108" s="283">
        <v>552.54320000000007</v>
      </c>
      <c r="F108" s="540">
        <v>16.28</v>
      </c>
    </row>
    <row r="109" spans="1:6" ht="24.95" customHeight="1">
      <c r="A109" s="725"/>
      <c r="B109" s="285" t="s">
        <v>194</v>
      </c>
      <c r="C109" s="55">
        <v>14</v>
      </c>
      <c r="D109" s="55">
        <f>COUNTIF(NORDESTE!A:A, "Cisneros")-COUNTIFS(NORDESTE!A:A,"Cisneros",NORDESTE!C:C,"")</f>
        <v>3</v>
      </c>
      <c r="E109" s="283">
        <v>149.30199999999999</v>
      </c>
      <c r="F109" s="540">
        <v>39.29</v>
      </c>
    </row>
    <row r="110" spans="1:6" ht="24.95" customHeight="1">
      <c r="A110" s="725"/>
      <c r="B110" s="285" t="s">
        <v>195</v>
      </c>
      <c r="C110" s="55">
        <v>52</v>
      </c>
      <c r="D110" s="55">
        <f>COUNTIF(NORDESTE!A:A, "Remedios")-COUNTIFS(NORDESTE!A:A,"Remedios",NORDESTE!C:C,"")</f>
        <v>7</v>
      </c>
      <c r="E110" s="283">
        <v>2405.8047999999999</v>
      </c>
      <c r="F110" s="540">
        <v>45.29</v>
      </c>
    </row>
    <row r="111" spans="1:6" ht="24.95" customHeight="1">
      <c r="A111" s="725"/>
      <c r="B111" s="285" t="s">
        <v>196</v>
      </c>
      <c r="C111" s="55">
        <v>50</v>
      </c>
      <c r="D111" s="55">
        <f>COUNTIF(NORDESTE!A:A, "San Roque")-COUNTIFS(NORDESTE!A:A,"San Roque",NORDESTE!C:C,"")</f>
        <v>34</v>
      </c>
      <c r="E111" s="283">
        <v>3002.3614551083592</v>
      </c>
      <c r="F111" s="540">
        <v>60.023219814241493</v>
      </c>
    </row>
    <row r="112" spans="1:6" ht="24.95" customHeight="1">
      <c r="A112" s="725"/>
      <c r="B112" s="285" t="s">
        <v>7</v>
      </c>
      <c r="C112" s="55">
        <v>44</v>
      </c>
      <c r="D112" s="55">
        <f>COUNTIF(NORDESTE!A:A, "Santo Domingo")-COUNTIFS(NORDESTE!A:A,"Santo Domingo",NORDESTE!C:C,"")</f>
        <v>18</v>
      </c>
      <c r="E112" s="283">
        <v>1153.9827</v>
      </c>
      <c r="F112" s="540">
        <v>36.53</v>
      </c>
    </row>
    <row r="113" spans="1:6" ht="24.95" customHeight="1">
      <c r="A113" s="725"/>
      <c r="B113" s="285" t="s">
        <v>197</v>
      </c>
      <c r="C113" s="55">
        <v>22</v>
      </c>
      <c r="D113" s="55">
        <f>COUNTIF(NORDESTE!A:A, "Segovia")-COUNTIFS(NORDESTE!A:A,"Segovia",NORDESTE!C:C,"")</f>
        <v>12</v>
      </c>
      <c r="E113" s="283">
        <v>867.41899999999998</v>
      </c>
      <c r="F113" s="540">
        <v>42.73</v>
      </c>
    </row>
    <row r="114" spans="1:6" ht="24.95" customHeight="1">
      <c r="A114" s="725"/>
      <c r="B114" s="285" t="s">
        <v>3774</v>
      </c>
      <c r="C114" s="55">
        <v>24</v>
      </c>
      <c r="D114" s="212">
        <f>COUNTIF(NORDESTE!A:A, "Vegachí")-COUNTIFS(NORDESTE!A:A,"Vegachí",NORDESTE!C:C,"")</f>
        <v>7</v>
      </c>
      <c r="E114" s="283">
        <v>512</v>
      </c>
      <c r="F114" s="540">
        <v>49.136276391554702</v>
      </c>
    </row>
    <row r="115" spans="1:6" ht="24.95" customHeight="1">
      <c r="A115" s="725"/>
      <c r="B115" s="285" t="s">
        <v>3775</v>
      </c>
      <c r="C115" s="55">
        <v>27</v>
      </c>
      <c r="D115" s="212">
        <f>COUNTIF(NORDESTE!A:A, "Yalí")-COUNTIFS(NORDESTE!A:A,"Yalí",NORDESTE!C:C,"")</f>
        <v>10</v>
      </c>
      <c r="E115" s="283">
        <v>412.19100000000003</v>
      </c>
      <c r="F115" s="540">
        <v>30.42</v>
      </c>
    </row>
    <row r="116" spans="1:6" ht="24.95" customHeight="1">
      <c r="A116" s="725"/>
      <c r="B116" s="285" t="s">
        <v>3776</v>
      </c>
      <c r="C116" s="55">
        <v>74</v>
      </c>
      <c r="D116" s="212">
        <f>COUNTIF(NORDESTE!A:A, "Yolombó")-COUNTIFS(NORDESTE!A:A,"Yolombó",NORDESTE!C:C,"")</f>
        <v>15</v>
      </c>
      <c r="E116" s="283">
        <v>1558.035587188612</v>
      </c>
      <c r="F116" s="540">
        <v>29.893238434163699</v>
      </c>
    </row>
    <row r="117" spans="1:6" ht="24.95" customHeight="1">
      <c r="A117" s="726"/>
      <c r="B117" s="286" t="s">
        <v>109</v>
      </c>
      <c r="C117" s="44">
        <f>SUM(C107:C116)</f>
        <v>411</v>
      </c>
      <c r="D117" s="44">
        <f>SUM(D107:D116)</f>
        <v>115</v>
      </c>
      <c r="E117" s="297">
        <f>SUM(E107:E116)</f>
        <v>10864.639742296971</v>
      </c>
      <c r="F117" s="394">
        <v>35.56</v>
      </c>
    </row>
    <row r="118" spans="1:6" ht="24.95" customHeight="1">
      <c r="A118" s="725" t="s">
        <v>201</v>
      </c>
      <c r="B118" s="285" t="s">
        <v>202</v>
      </c>
      <c r="C118" s="55">
        <v>64</v>
      </c>
      <c r="D118" s="209">
        <f>COUNTIF(ORIENTE!A:A, "Abejorral")-COUNTIFS(ORIENTE!A:A,"Abejorral",ORIENTE!C:C,"")</f>
        <v>48</v>
      </c>
      <c r="E118" s="283">
        <v>1864.6889999999999</v>
      </c>
      <c r="F118" s="540">
        <v>47.1</v>
      </c>
    </row>
    <row r="119" spans="1:6" ht="24.95" customHeight="1">
      <c r="A119" s="725"/>
      <c r="B119" s="285" t="s">
        <v>203</v>
      </c>
      <c r="C119" s="55">
        <v>14</v>
      </c>
      <c r="D119" s="55">
        <f>COUNTIF(ORIENTE!A:A, "Alejandría")-COUNTIFS(ORIENTE!A:A,"Alejandría",ORIENTE!C:C,"")</f>
        <v>10</v>
      </c>
      <c r="E119" s="283">
        <v>299.00000000000006</v>
      </c>
      <c r="F119" s="540">
        <v>42.2316384180791</v>
      </c>
    </row>
    <row r="120" spans="1:6" ht="24.95" customHeight="1">
      <c r="A120" s="725"/>
      <c r="B120" s="285" t="s">
        <v>204</v>
      </c>
      <c r="C120" s="55">
        <v>49</v>
      </c>
      <c r="D120" s="55">
        <f>COUNTIF(ORIENTE!A:A, "Argelia")-COUNTIFS(ORIENTE!A:A,"Argelia",ORIENTE!C:C,"")</f>
        <v>20</v>
      </c>
      <c r="E120" s="283">
        <v>505.78839999999997</v>
      </c>
      <c r="F120" s="540">
        <v>42.29</v>
      </c>
    </row>
    <row r="121" spans="1:6" ht="24.95" customHeight="1">
      <c r="A121" s="725"/>
      <c r="B121" s="285" t="s">
        <v>205</v>
      </c>
      <c r="C121" s="55">
        <v>78</v>
      </c>
      <c r="D121" s="209">
        <f>COUNTIF(ORIENTE!A:A, "Cocorná")-COUNTIFS(ORIENTE!A:A,"Cocorná",ORIENTE!C:C,"")</f>
        <v>23</v>
      </c>
      <c r="E121" s="283">
        <v>1222.6302000000001</v>
      </c>
      <c r="F121" s="540">
        <v>45.74</v>
      </c>
    </row>
    <row r="122" spans="1:6" ht="24.95" customHeight="1">
      <c r="A122" s="725"/>
      <c r="B122" s="285" t="s">
        <v>206</v>
      </c>
      <c r="C122" s="55">
        <v>24</v>
      </c>
      <c r="D122" s="212">
        <f>COUNTIF(ORIENTE!A:A, "Concepción")-COUNTIFS(ORIENTE!A:A,"Concepción",ORIENTE!C:C,"")</f>
        <v>5</v>
      </c>
      <c r="E122" s="283">
        <v>96.978102189781026</v>
      </c>
      <c r="F122" s="540">
        <v>10.656934306569344</v>
      </c>
    </row>
    <row r="123" spans="1:6" ht="24.95" customHeight="1">
      <c r="A123" s="725"/>
      <c r="B123" s="285" t="s">
        <v>207</v>
      </c>
      <c r="C123" s="55">
        <v>55</v>
      </c>
      <c r="D123" s="55">
        <f>COUNTIF(ORIENTE!A:A, "Carmen De Viboral")-COUNTIFS(ORIENTE!A:A,"Carmen De Viboral",ORIENTE!C:C,"")</f>
        <v>36</v>
      </c>
      <c r="E123" s="283">
        <v>6414.1803</v>
      </c>
      <c r="F123" s="540">
        <v>84.81</v>
      </c>
    </row>
    <row r="124" spans="1:6" ht="24.95" customHeight="1">
      <c r="A124" s="725"/>
      <c r="B124" s="285" t="s">
        <v>208</v>
      </c>
      <c r="C124" s="55">
        <v>24</v>
      </c>
      <c r="D124" s="55">
        <f>COUNTIF(ORIENTE!A:A, "El Peñol")-COUNTIFS(ORIENTE!A:A,"El Peñol",ORIENTE!C:C,"")</f>
        <v>28</v>
      </c>
      <c r="E124" s="283">
        <v>2674.3257999999996</v>
      </c>
      <c r="F124" s="540">
        <v>82.49</v>
      </c>
    </row>
    <row r="125" spans="1:6" ht="24.95" customHeight="1">
      <c r="A125" s="725"/>
      <c r="B125" s="285" t="s">
        <v>209</v>
      </c>
      <c r="C125" s="55">
        <v>20</v>
      </c>
      <c r="D125" s="212">
        <f>COUNTIF(ORIENTE!A:A, "El Retiro")-COUNTIFS(ORIENTE!A:A,"El Retiro",ORIENTE!C:C,"")</f>
        <v>22</v>
      </c>
      <c r="E125" s="283">
        <v>2609.75</v>
      </c>
      <c r="F125" s="540">
        <v>73</v>
      </c>
    </row>
    <row r="126" spans="1:6" ht="24.95" customHeight="1">
      <c r="A126" s="725"/>
      <c r="B126" s="285" t="s">
        <v>210</v>
      </c>
      <c r="C126" s="55">
        <v>36</v>
      </c>
      <c r="D126" s="212">
        <f>COUNTIF(ORIENTE!A:A, "El Santuario")-COUNTIFS(ORIENTE!A:A,"El Santuario",ORIENTE!C:C,"")</f>
        <v>37</v>
      </c>
      <c r="E126" s="283">
        <v>2396.5250999999998</v>
      </c>
      <c r="F126" s="540">
        <v>82.27</v>
      </c>
    </row>
    <row r="127" spans="1:6" ht="24.95" customHeight="1">
      <c r="A127" s="725"/>
      <c r="B127" s="285" t="s">
        <v>211</v>
      </c>
      <c r="C127" s="55">
        <v>51</v>
      </c>
      <c r="D127" s="55">
        <f>COUNTIF(ORIENTE!A:A, "Granada")-COUNTIFS(ORIENTE!A:A,"Granada",ORIENTE!C:C,"")</f>
        <v>29</v>
      </c>
      <c r="E127" s="283">
        <v>1170.693</v>
      </c>
      <c r="F127" s="540">
        <v>78.569999999999993</v>
      </c>
    </row>
    <row r="128" spans="1:6" ht="24.95" customHeight="1">
      <c r="A128" s="725"/>
      <c r="B128" s="285" t="s">
        <v>212</v>
      </c>
      <c r="C128" s="55">
        <v>35</v>
      </c>
      <c r="D128" s="55">
        <f>COUNTIF(ORIENTE!A:A, "Guarne")-COUNTIFS(ORIENTE!A:A,"Guarne",ORIENTE!C:C,"")</f>
        <v>59</v>
      </c>
      <c r="E128" s="283">
        <v>9554.0962999999992</v>
      </c>
      <c r="F128" s="540">
        <v>82.37</v>
      </c>
    </row>
    <row r="129" spans="1:6" ht="24.95" customHeight="1">
      <c r="A129" s="725"/>
      <c r="B129" s="285" t="s">
        <v>213</v>
      </c>
      <c r="C129" s="55">
        <v>9</v>
      </c>
      <c r="D129" s="55">
        <f>COUNTIF(ORIENTE!A:A, "Guatapé")-COUNTIFS(ORIENTE!A:A,"Guatapé",ORIENTE!C:C,"")</f>
        <v>6</v>
      </c>
      <c r="E129" s="283">
        <v>958.00319999999988</v>
      </c>
      <c r="F129" s="540">
        <v>90.72</v>
      </c>
    </row>
    <row r="130" spans="1:6" ht="24.95" customHeight="1">
      <c r="A130" s="725"/>
      <c r="B130" s="285" t="s">
        <v>44</v>
      </c>
      <c r="C130" s="55">
        <v>17</v>
      </c>
      <c r="D130" s="55">
        <f>COUNTIF(ORIENTE!A:A, "La Ceja")-COUNTIFS(ORIENTE!A:A,"La Ceja",ORIENTE!C:C,"")</f>
        <v>16</v>
      </c>
      <c r="E130" s="283">
        <v>1535.8905</v>
      </c>
      <c r="F130" s="540">
        <v>59.05</v>
      </c>
    </row>
    <row r="131" spans="1:6" ht="24.95" customHeight="1">
      <c r="A131" s="725"/>
      <c r="B131" s="285" t="s">
        <v>214</v>
      </c>
      <c r="C131" s="55">
        <v>26</v>
      </c>
      <c r="D131" s="212">
        <f>COUNTIF(ORIENTE!A:A, "La Unión")-COUNTIFS(ORIENTE!A:A,"LLa Unión",ORIENTE!C:C,"")</f>
        <v>18</v>
      </c>
      <c r="E131" s="283">
        <v>1658</v>
      </c>
      <c r="F131" s="540">
        <v>68.427569129178707</v>
      </c>
    </row>
    <row r="132" spans="1:6" ht="24.95" customHeight="1">
      <c r="A132" s="725"/>
      <c r="B132" s="285" t="s">
        <v>215</v>
      </c>
      <c r="C132" s="55">
        <v>30</v>
      </c>
      <c r="D132" s="55">
        <f>COUNTIF(ORIENTE!A:A, "Marinilla")-COUNTIFS(ORIENTE!A:A,"Marinilla",ORIENTE!C:C,"")</f>
        <v>38</v>
      </c>
      <c r="E132" s="283">
        <v>5602.8064000000004</v>
      </c>
      <c r="F132" s="540">
        <v>95.84</v>
      </c>
    </row>
    <row r="133" spans="1:6" ht="24.95" customHeight="1">
      <c r="A133" s="725"/>
      <c r="B133" s="285" t="s">
        <v>216</v>
      </c>
      <c r="C133" s="55">
        <v>49</v>
      </c>
      <c r="D133" s="212">
        <f>COUNTIF(ORIENTE!A:A, "Nariño")-COUNTIFS(ORIENTE!A:A,"Nariño",ORIENTE!C:C,"")</f>
        <v>11</v>
      </c>
      <c r="E133" s="283">
        <v>426.99999999999994</v>
      </c>
      <c r="F133" s="540">
        <v>20.718098010674428</v>
      </c>
    </row>
    <row r="134" spans="1:6" ht="24.95" customHeight="1">
      <c r="A134" s="725"/>
      <c r="B134" s="285" t="s">
        <v>80</v>
      </c>
      <c r="C134" s="55">
        <v>35</v>
      </c>
      <c r="D134" s="55">
        <f>COUNTIF(ORIENTE!A:A, "Rionegro")-COUNTIFS(ORIENTE!A:A,"Rionegro",ORIENTE!C:C,"")</f>
        <v>24</v>
      </c>
      <c r="E134" s="283">
        <v>16326.7695</v>
      </c>
      <c r="F134" s="540">
        <v>97.27</v>
      </c>
    </row>
    <row r="135" spans="1:6" ht="24.95" customHeight="1">
      <c r="A135" s="725"/>
      <c r="B135" s="285" t="s">
        <v>52</v>
      </c>
      <c r="C135" s="55">
        <v>78</v>
      </c>
      <c r="D135" s="55">
        <f>COUNTIF(ORIENTE!A:A, "San Carlos")-COUNTIFS(ORIENTE!A:A,"San Carlos",ORIENTE!C:C,"")</f>
        <v>15</v>
      </c>
      <c r="E135" s="283">
        <v>2681.9229000000005</v>
      </c>
      <c r="F135" s="540">
        <v>86.43</v>
      </c>
    </row>
    <row r="136" spans="1:6" ht="24.95" customHeight="1">
      <c r="A136" s="725"/>
      <c r="B136" s="285" t="s">
        <v>217</v>
      </c>
      <c r="C136" s="55">
        <v>42</v>
      </c>
      <c r="D136" s="212">
        <f>COUNTIF(ORIENTE!A:A, "San Francisco")-COUNTIFS(ORIENTE!A:A,"San Francisco",ORIENTE!C:C,"")</f>
        <v>7</v>
      </c>
      <c r="E136" s="283">
        <v>419.76480000000004</v>
      </c>
      <c r="F136" s="540">
        <v>43.68</v>
      </c>
    </row>
    <row r="137" spans="1:6" ht="24.95" customHeight="1">
      <c r="A137" s="725"/>
      <c r="B137" s="285" t="s">
        <v>73</v>
      </c>
      <c r="C137" s="55">
        <v>48</v>
      </c>
      <c r="D137" s="212">
        <f>COUNTIF(ORIENTE!A:A, "San Luis")-COUNTIFS(ORIENTE!A:A,"San Luis",ORIENTE!C:C,"")</f>
        <v>9</v>
      </c>
      <c r="E137" s="283">
        <v>384.18944099378882</v>
      </c>
      <c r="F137" s="540">
        <v>23.788819875776397</v>
      </c>
    </row>
    <row r="138" spans="1:6" ht="24.95" customHeight="1">
      <c r="A138" s="725"/>
      <c r="B138" s="285" t="s">
        <v>93</v>
      </c>
      <c r="C138" s="55">
        <v>56</v>
      </c>
      <c r="D138" s="212">
        <f>COUNTIF(ORIENTE!A:A, "San Rafael")-COUNTIFS(ORIENTE!A:A,"San Rafael",ORIENTE!C:C,"")</f>
        <v>17</v>
      </c>
      <c r="E138" s="283">
        <v>575.89110000000005</v>
      </c>
      <c r="F138" s="540">
        <v>23.67</v>
      </c>
    </row>
    <row r="139" spans="1:6" ht="24.95" customHeight="1">
      <c r="A139" s="725"/>
      <c r="B139" s="285" t="s">
        <v>218</v>
      </c>
      <c r="C139" s="55">
        <v>39</v>
      </c>
      <c r="D139" s="55">
        <f>COUNTIF(ORIENTE!A:A, "San Vicente")-COUNTIFS(ORIENTE!A:A,"San Vicente",ORIENTE!C:C,"")</f>
        <v>46</v>
      </c>
      <c r="E139" s="283">
        <v>4098.9839999999995</v>
      </c>
      <c r="F139" s="540">
        <v>80.8</v>
      </c>
    </row>
    <row r="140" spans="1:6" ht="24.95" customHeight="1">
      <c r="A140" s="725"/>
      <c r="B140" s="285" t="s">
        <v>219</v>
      </c>
      <c r="C140" s="55">
        <v>101</v>
      </c>
      <c r="D140" s="212">
        <f>COUNTIF(ORIENTE!A:A, "Sonsón")-COUNTIFS(ORIENTE!A:A,"Sonsón",ORIENTE!C:C,"")</f>
        <v>24</v>
      </c>
      <c r="E140" s="283">
        <v>1898.4184</v>
      </c>
      <c r="F140" s="540">
        <v>33.47</v>
      </c>
    </row>
    <row r="141" spans="1:6" ht="24.95" customHeight="1">
      <c r="A141" s="726"/>
      <c r="B141" s="286" t="s">
        <v>109</v>
      </c>
      <c r="C141" s="44">
        <f>SUM(C118:C140)</f>
        <v>980</v>
      </c>
      <c r="D141" s="44">
        <f>SUM(D118:D140)</f>
        <v>548</v>
      </c>
      <c r="E141" s="297">
        <f>SUM(E118:E140)</f>
        <v>65376.296443183564</v>
      </c>
      <c r="F141" s="394">
        <v>73.08</v>
      </c>
    </row>
    <row r="142" spans="1:6" ht="27.75" customHeight="1">
      <c r="A142" s="725" t="s">
        <v>220</v>
      </c>
      <c r="B142" s="725"/>
      <c r="C142" s="44">
        <f>SUM(C18,C30,C48,C68,C92,C99,C106,C117,C141)</f>
        <v>4572</v>
      </c>
      <c r="D142" s="44">
        <f>SUM(D18,D30,D48,D68,D92,D99,D106,D117,D141)</f>
        <v>2361</v>
      </c>
      <c r="E142" s="297">
        <f>SUM(E141,E117,E106,E99,E92,E68,E48,E30,E18)</f>
        <v>332434.83269437461</v>
      </c>
      <c r="F142" s="394">
        <v>65.13</v>
      </c>
    </row>
  </sheetData>
  <customSheetViews>
    <customSheetView guid="{75DD7674-E7DE-4BB1-A36D-76AA33452CB3}" scale="60" topLeftCell="A23">
      <selection activeCell="I113" sqref="I113"/>
      <pageMargins left="0.7" right="0.7" top="0.75" bottom="0.75" header="0.3" footer="0.3"/>
      <pageSetup orientation="portrait" horizontalDpi="4294967295" verticalDpi="4294967295" r:id="rId1"/>
    </customSheetView>
    <customSheetView guid="{AEDE1BDB-8710-4CDA-8488-31F49D423ACE}" scale="60" topLeftCell="A43">
      <selection activeCell="L75" sqref="L75"/>
      <pageMargins left="0.7" right="0.7" top="0.75" bottom="0.75" header="0.3" footer="0.3"/>
      <pageSetup orientation="portrait" horizontalDpi="4294967295" verticalDpi="4294967295" r:id="rId2"/>
    </customSheetView>
    <customSheetView guid="{FCC3B493-4306-43B2-9C73-76324485DD47}" scale="60" topLeftCell="A115">
      <selection activeCell="G133" sqref="G133"/>
      <pageMargins left="0.7" right="0.7" top="0.75" bottom="0.75" header="0.3" footer="0.3"/>
      <pageSetup orientation="portrait" horizontalDpi="4294967295" verticalDpi="4294967295" r:id="rId3"/>
    </customSheetView>
    <customSheetView guid="{45C8AF51-29EC-46A5-AB7F-1F0634E55D82}" scale="55" topLeftCell="A4">
      <pane xSplit="1" ySplit="2" topLeftCell="B127" activePane="bottomRight" state="frozen"/>
      <selection pane="bottomRight" activeCell="D140" sqref="D140"/>
      <pageMargins left="0.7" right="0.7" top="0.75" bottom="0.75" header="0.3" footer="0.3"/>
      <pageSetup orientation="portrait" horizontalDpi="4294967295" verticalDpi="4294967295" r:id="rId4"/>
    </customSheetView>
  </customSheetViews>
  <mergeCells count="11">
    <mergeCell ref="B5:D5"/>
    <mergeCell ref="A31:A48"/>
    <mergeCell ref="A49:A68"/>
    <mergeCell ref="A69:A92"/>
    <mergeCell ref="A8:A18"/>
    <mergeCell ref="A19:A30"/>
    <mergeCell ref="A93:A99"/>
    <mergeCell ref="A142:B142"/>
    <mergeCell ref="A100:A106"/>
    <mergeCell ref="A107:A117"/>
    <mergeCell ref="A118:A141"/>
  </mergeCells>
  <pageMargins left="0.7" right="0.7" top="0.75" bottom="0.75" header="0.3" footer="0.3"/>
  <pageSetup orientation="portrait" horizontalDpi="4294967295" verticalDpi="4294967295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P208"/>
  <sheetViews>
    <sheetView tabSelected="1" zoomScale="60" zoomScaleNormal="60" workbookViewId="0">
      <selection activeCell="A8" sqref="A8"/>
    </sheetView>
  </sheetViews>
  <sheetFormatPr baseColWidth="10" defaultRowHeight="12.75"/>
  <cols>
    <col min="1" max="1" width="29.42578125" bestFit="1" customWidth="1"/>
    <col min="2" max="2" width="14.28515625" style="23" customWidth="1"/>
    <col min="3" max="3" width="11.7109375" customWidth="1"/>
    <col min="4" max="4" width="11.7109375" style="23" customWidth="1"/>
    <col min="5" max="5" width="11.7109375" customWidth="1"/>
    <col min="6" max="6" width="11.7109375" style="23" customWidth="1"/>
    <col min="7" max="7" width="11.7109375" customWidth="1"/>
    <col min="8" max="8" width="11.7109375" style="23" customWidth="1"/>
    <col min="9" max="9" width="11.7109375" customWidth="1"/>
    <col min="10" max="10" width="11.7109375" style="23" customWidth="1"/>
    <col min="11" max="11" width="11.7109375" customWidth="1"/>
    <col min="12" max="12" width="11.7109375" style="23" customWidth="1"/>
    <col min="13" max="13" width="11.7109375" customWidth="1"/>
    <col min="14" max="14" width="11.7109375" style="23" customWidth="1"/>
    <col min="15" max="15" width="11.7109375" customWidth="1"/>
  </cols>
  <sheetData>
    <row r="1" spans="1:15" ht="18">
      <c r="A1" s="4"/>
      <c r="C1" s="729" t="s">
        <v>251</v>
      </c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5" ht="18">
      <c r="A2" s="4"/>
      <c r="C2" s="695" t="s">
        <v>4313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</row>
    <row r="3" spans="1:15" ht="20.25" customHeight="1">
      <c r="A3" s="4"/>
      <c r="C3" s="685" t="s">
        <v>4347</v>
      </c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</row>
    <row r="4" spans="1:15" ht="24.75" customHeight="1">
      <c r="A4" s="65"/>
      <c r="B4" s="66"/>
      <c r="C4" s="685" t="s">
        <v>3907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</row>
    <row r="5" spans="1:15" ht="32.25" customHeight="1">
      <c r="A5" s="65"/>
      <c r="B5" s="66"/>
      <c r="C5" s="695" t="s">
        <v>4478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</row>
    <row r="6" spans="1:15" ht="27" customHeight="1">
      <c r="A6" s="728" t="s">
        <v>4460</v>
      </c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</row>
    <row r="7" spans="1:15" ht="114.75" customHeight="1">
      <c r="A7" s="246" t="s">
        <v>250</v>
      </c>
      <c r="B7" s="68" t="s">
        <v>249</v>
      </c>
      <c r="C7" s="246" t="s">
        <v>101</v>
      </c>
      <c r="D7" s="249" t="s">
        <v>243</v>
      </c>
      <c r="E7" s="246" t="s">
        <v>101</v>
      </c>
      <c r="F7" s="250" t="s">
        <v>244</v>
      </c>
      <c r="G7" s="246" t="s">
        <v>101</v>
      </c>
      <c r="H7" s="251" t="s">
        <v>245</v>
      </c>
      <c r="I7" s="246" t="s">
        <v>101</v>
      </c>
      <c r="J7" s="252" t="s">
        <v>246</v>
      </c>
      <c r="K7" s="246" t="s">
        <v>101</v>
      </c>
      <c r="L7" s="253" t="s">
        <v>247</v>
      </c>
      <c r="M7" s="246" t="s">
        <v>101</v>
      </c>
      <c r="N7" s="68" t="s">
        <v>248</v>
      </c>
      <c r="O7" s="246" t="s">
        <v>101</v>
      </c>
    </row>
    <row r="8" spans="1:15" ht="15.75" customHeight="1">
      <c r="A8" s="74" t="s">
        <v>242</v>
      </c>
      <c r="B8" s="44">
        <f>'CONSOLIDADO-ACUEDUCTOSRURALES1'!D18</f>
        <v>200</v>
      </c>
      <c r="C8" s="54">
        <f t="shared" ref="C8:C16" si="0">(B8/$B$17)*100</f>
        <v>8.4709868699703517</v>
      </c>
      <c r="D8" s="44">
        <f>COUNTIF('VALLE DE ABURRA'!S:S,"SIN RIESGO")</f>
        <v>38</v>
      </c>
      <c r="E8" s="54">
        <f>(D8/$B$8)*100</f>
        <v>19</v>
      </c>
      <c r="F8" s="44">
        <f>COUNTIF('VALLE DE ABURRA'!S:S,"BAJO")</f>
        <v>24</v>
      </c>
      <c r="G8" s="54">
        <f>(F8/$B$8)*100</f>
        <v>12</v>
      </c>
      <c r="H8" s="44">
        <f>COUNTIF('VALLE DE ABURRA'!S:S,"MEDIO")</f>
        <v>48</v>
      </c>
      <c r="I8" s="54">
        <f>(H8/$B$8)*100</f>
        <v>24</v>
      </c>
      <c r="J8" s="44">
        <f>COUNTIF('VALLE DE ABURRA'!S:S,"ALTO")</f>
        <v>55</v>
      </c>
      <c r="K8" s="54">
        <f>(J8/$B$8)*100</f>
        <v>27.500000000000004</v>
      </c>
      <c r="L8" s="44">
        <f>COUNTIF('VALLE DE ABURRA'!S:S,"INVIABLE SANITARIAMENTE")</f>
        <v>31</v>
      </c>
      <c r="M8" s="54">
        <f>(L8/$B$8)*100</f>
        <v>15.5</v>
      </c>
      <c r="N8" s="44">
        <f>B8-(D8+F8+H8+J8+L8)</f>
        <v>4</v>
      </c>
      <c r="O8" s="54">
        <f>(N8/$B$8)*100</f>
        <v>2</v>
      </c>
    </row>
    <row r="9" spans="1:15" ht="15.75">
      <c r="A9" s="45" t="s">
        <v>221</v>
      </c>
      <c r="B9" s="44">
        <f>'CONSOLIDADO-ACUEDUCTOSRURALES1'!D30</f>
        <v>109</v>
      </c>
      <c r="C9" s="54">
        <f t="shared" si="0"/>
        <v>4.6166878441338417</v>
      </c>
      <c r="D9" s="44">
        <f>COUNTIF(URABA!S:S,"SIN RIESGO")</f>
        <v>12</v>
      </c>
      <c r="E9" s="54">
        <f>(D9/$B$9)*100</f>
        <v>11.009174311926607</v>
      </c>
      <c r="F9" s="44">
        <f>COUNTIF(URABA!S:S,"BAJO")</f>
        <v>4</v>
      </c>
      <c r="G9" s="54">
        <f>(F9/$B$9)*100</f>
        <v>3.669724770642202</v>
      </c>
      <c r="H9" s="44">
        <f>COUNTIF(URABA!S:S,"MEDIO")</f>
        <v>5</v>
      </c>
      <c r="I9" s="54">
        <f>(H9/$B$9)*100</f>
        <v>4.5871559633027523</v>
      </c>
      <c r="J9" s="44">
        <f>COUNTIF(URABA!S:S,"ALTO")</f>
        <v>23</v>
      </c>
      <c r="K9" s="54">
        <f>(J9/$B$9)*100</f>
        <v>21.100917431192663</v>
      </c>
      <c r="L9" s="44">
        <f>COUNTIF(URABA!S:S,"INVIABLE SANITARIAMENTE")</f>
        <v>58</v>
      </c>
      <c r="M9" s="54">
        <f>(L9/$B$9)*100</f>
        <v>53.211009174311933</v>
      </c>
      <c r="N9" s="203">
        <f>B9-(D9+F9+H9+J9+L9)</f>
        <v>7</v>
      </c>
      <c r="O9" s="54">
        <f>(N9/$B$9)*100</f>
        <v>6.4220183486238538</v>
      </c>
    </row>
    <row r="10" spans="1:15" s="33" customFormat="1" ht="15.75">
      <c r="A10" s="45" t="s">
        <v>222</v>
      </c>
      <c r="B10" s="225">
        <f>'CONSOLIDADO-ACUEDUCTOSRURALES1'!D48</f>
        <v>254</v>
      </c>
      <c r="C10" s="54">
        <f t="shared" si="0"/>
        <v>10.758153324862347</v>
      </c>
      <c r="D10" s="225">
        <f>+COUNTIFS(NORTE!S11:S264,"Sin Riesgo")</f>
        <v>19</v>
      </c>
      <c r="E10" s="54">
        <f>(D10/$B$10)*100</f>
        <v>7.4803149606299222</v>
      </c>
      <c r="F10" s="225">
        <f>+COUNTIFS(NORTE!S11:S264,"Bajo")</f>
        <v>4</v>
      </c>
      <c r="G10" s="54">
        <f>(F10/$B$10)*100</f>
        <v>1.5748031496062991</v>
      </c>
      <c r="H10" s="225">
        <f>+COUNTIFS(NORTE!S11:S264,"Medio")</f>
        <v>31</v>
      </c>
      <c r="I10" s="54">
        <f>(H10/$B$10)*100</f>
        <v>12.204724409448819</v>
      </c>
      <c r="J10" s="225">
        <f>+COUNTIFS(NORTE!S11:S264,"Alto")</f>
        <v>53</v>
      </c>
      <c r="K10" s="54">
        <f>(J10/$B$10)*100</f>
        <v>20.866141732283463</v>
      </c>
      <c r="L10" s="225">
        <f>+COUNTIFS(NORTE!S11:S264,"Inviable Sanitariamente")</f>
        <v>109</v>
      </c>
      <c r="M10" s="54">
        <f>(L10/$B$10)*100</f>
        <v>42.913385826771652</v>
      </c>
      <c r="N10" s="225">
        <f>B10-(D10+F10+H10+J10+L10)</f>
        <v>38</v>
      </c>
      <c r="O10" s="54">
        <f>(N10/$B$10)*100</f>
        <v>14.960629921259844</v>
      </c>
    </row>
    <row r="11" spans="1:15" s="28" customFormat="1" ht="15.75">
      <c r="A11" s="228" t="s">
        <v>223</v>
      </c>
      <c r="B11" s="229">
        <f>'CONSOLIDADO-ACUEDUCTOSRURALES1'!D68</f>
        <v>493</v>
      </c>
      <c r="C11" s="230">
        <f t="shared" si="0"/>
        <v>20.880982634476915</v>
      </c>
      <c r="D11" s="229">
        <f>+COUNTIFS(OCCIDENTE!S11:S503,"SIN RIESGO")</f>
        <v>21</v>
      </c>
      <c r="E11" s="230">
        <f>(D11/$B$11)*100</f>
        <v>4.2596348884381339</v>
      </c>
      <c r="F11" s="229">
        <f>+COUNTIFS(OCCIDENTE!S11:S503,"Bajo")</f>
        <v>1</v>
      </c>
      <c r="G11" s="230">
        <f>(F11/$B$11)*100</f>
        <v>0.20283975659229209</v>
      </c>
      <c r="H11" s="229">
        <f>+COUNTIFS(OCCIDENTE!S11:S503,"Medio")</f>
        <v>4</v>
      </c>
      <c r="I11" s="230">
        <f>(H11/$B$11)*100</f>
        <v>0.81135902636916835</v>
      </c>
      <c r="J11" s="229">
        <f>+COUNTIFS(OCCIDENTE!S11:S503,"Alto")</f>
        <v>59</v>
      </c>
      <c r="K11" s="230">
        <f>(J11/$B$11)*100</f>
        <v>11.967545638945234</v>
      </c>
      <c r="L11" s="229">
        <f>+COUNTIFS(OCCIDENTE!S11:S503,"Inviable Sanitariamente")</f>
        <v>356</v>
      </c>
      <c r="M11" s="230">
        <f>(L11/$B$11)*100</f>
        <v>72.210953346855987</v>
      </c>
      <c r="N11" s="229">
        <f t="shared" ref="N11:N16" si="1">B11-(D11+F11+H11+J11+L11)</f>
        <v>52</v>
      </c>
      <c r="O11" s="230">
        <f>(N11/$B$11)*100</f>
        <v>10.547667342799189</v>
      </c>
    </row>
    <row r="12" spans="1:15" s="28" customFormat="1" ht="15.75">
      <c r="A12" s="228" t="s">
        <v>224</v>
      </c>
      <c r="B12" s="229">
        <f>'CONSOLIDADO-ACUEDUCTOSRURALES1'!D92</f>
        <v>510</v>
      </c>
      <c r="C12" s="230">
        <f t="shared" si="0"/>
        <v>21.601016518424395</v>
      </c>
      <c r="D12" s="229">
        <f>COUNTIF(SUROESTE!S:S,"SIN RIESGO")</f>
        <v>101</v>
      </c>
      <c r="E12" s="230">
        <f>(D12/$B$12)*100</f>
        <v>19.803921568627452</v>
      </c>
      <c r="F12" s="229">
        <f>COUNTIF(SUROESTE!S:S,"BAJO")</f>
        <v>9</v>
      </c>
      <c r="G12" s="230">
        <f>(F12/$B$12)*100</f>
        <v>1.7647058823529411</v>
      </c>
      <c r="H12" s="229">
        <f>COUNTIF(SUROESTE!S:S,"MEDIO")</f>
        <v>18</v>
      </c>
      <c r="I12" s="230">
        <f>(H12/$B$12)*100</f>
        <v>3.5294117647058822</v>
      </c>
      <c r="J12" s="229">
        <f>COUNTIF(SUROESTE!S:S,"ALTO")</f>
        <v>132</v>
      </c>
      <c r="K12" s="230">
        <f>(J12/$B$12)*100</f>
        <v>25.882352941176475</v>
      </c>
      <c r="L12" s="229">
        <f>COUNTIF(SUROESTE!S:S,"INVIABLE SANITARIAMENTE")</f>
        <v>233</v>
      </c>
      <c r="M12" s="230">
        <f>(L12/$B$12)*100</f>
        <v>45.686274509803923</v>
      </c>
      <c r="N12" s="229">
        <f t="shared" si="1"/>
        <v>17</v>
      </c>
      <c r="O12" s="230">
        <f>(N12/$B$12)*100</f>
        <v>3.3333333333333335</v>
      </c>
    </row>
    <row r="13" spans="1:15" s="28" customFormat="1" ht="15.75">
      <c r="A13" s="228" t="s">
        <v>225</v>
      </c>
      <c r="B13" s="229">
        <f>'CONSOLIDADO-ACUEDUCTOSRURALES1'!D99</f>
        <v>57</v>
      </c>
      <c r="C13" s="230">
        <f t="shared" si="0"/>
        <v>2.4142312579415499</v>
      </c>
      <c r="D13" s="229">
        <f>COUNTIF('BAJO CAUCA'!S:S,"SIN RIESGO")</f>
        <v>1</v>
      </c>
      <c r="E13" s="230">
        <f>(D13/$B$8)*100</f>
        <v>0.5</v>
      </c>
      <c r="F13" s="229">
        <f>COUNTIF('BAJO CAUCA'!S:S,"BAJO")</f>
        <v>1</v>
      </c>
      <c r="G13" s="230">
        <f>(F13/$B$8)*100</f>
        <v>0.5</v>
      </c>
      <c r="H13" s="229">
        <f>COUNTIF('BAJO CAUCA'!S:S,"MEDIO")</f>
        <v>1</v>
      </c>
      <c r="I13" s="230">
        <f>(H13/$B$8)*100</f>
        <v>0.5</v>
      </c>
      <c r="J13" s="229">
        <f>COUNTIF('BAJO CAUCA'!S:S,"ALTO")</f>
        <v>5</v>
      </c>
      <c r="K13" s="230">
        <f>(J13/$B$8)*100</f>
        <v>2.5</v>
      </c>
      <c r="L13" s="229">
        <f>+COUNTIFS('BAJO CAUCA'!S11:S67,"Inviable sanitariamente")</f>
        <v>35</v>
      </c>
      <c r="M13" s="230">
        <f>(L13/$B$8)*100</f>
        <v>17.5</v>
      </c>
      <c r="N13" s="229">
        <f t="shared" si="1"/>
        <v>14</v>
      </c>
      <c r="O13" s="230">
        <f>(N13/$B$8)*100</f>
        <v>7.0000000000000009</v>
      </c>
    </row>
    <row r="14" spans="1:15" s="28" customFormat="1" ht="15.75">
      <c r="A14" s="228" t="s">
        <v>226</v>
      </c>
      <c r="B14" s="229">
        <f>'CONSOLIDADO-ACUEDUCTOSRURALES1'!D106</f>
        <v>75</v>
      </c>
      <c r="C14" s="230">
        <f t="shared" si="0"/>
        <v>3.1766200762388821</v>
      </c>
      <c r="D14" s="229">
        <f>COUNTIF('MAGDALENA MEDIO'!S:S,"SIN RIESGO")</f>
        <v>14</v>
      </c>
      <c r="E14" s="230">
        <f>(D14/$B$14)*100</f>
        <v>18.666666666666668</v>
      </c>
      <c r="F14" s="229">
        <f>COUNTIF('MAGDALENA MEDIO'!S:S,"BAJO")</f>
        <v>2</v>
      </c>
      <c r="G14" s="230">
        <f>(F14/$B$14)*100</f>
        <v>2.666666666666667</v>
      </c>
      <c r="H14" s="229">
        <f>COUNTIF('MAGDALENA MEDIO'!S:S,"MEDIO")</f>
        <v>4</v>
      </c>
      <c r="I14" s="230">
        <f>(H14/$B$14)*100</f>
        <v>5.3333333333333339</v>
      </c>
      <c r="J14" s="229">
        <f>COUNTIF('MAGDALENA MEDIO'!S:S,"ALTO")</f>
        <v>24</v>
      </c>
      <c r="K14" s="230">
        <f>(J14/$B$14)*100</f>
        <v>32</v>
      </c>
      <c r="L14" s="229">
        <f>COUNTIF('MAGDALENA MEDIO'!S:S,"INVIABLE SANITARIAMENTE")</f>
        <v>19</v>
      </c>
      <c r="M14" s="230">
        <f>(L14/$B$14)*100</f>
        <v>25.333333333333336</v>
      </c>
      <c r="N14" s="229">
        <f t="shared" si="1"/>
        <v>12</v>
      </c>
      <c r="O14" s="230">
        <f>(N14/$B$14)*100</f>
        <v>16</v>
      </c>
    </row>
    <row r="15" spans="1:15" s="28" customFormat="1" ht="15.75">
      <c r="A15" s="228" t="s">
        <v>227</v>
      </c>
      <c r="B15" s="229">
        <f>'CONSOLIDADO-ACUEDUCTOSRURALES1'!D117</f>
        <v>115</v>
      </c>
      <c r="C15" s="230">
        <f t="shared" si="0"/>
        <v>4.870817450232952</v>
      </c>
      <c r="D15" s="229">
        <f>COUNTIF(NORDESTE!S:S,"SIN RIESGO")</f>
        <v>16</v>
      </c>
      <c r="E15" s="230">
        <f>(D15/$B$15)*100</f>
        <v>13.913043478260869</v>
      </c>
      <c r="F15" s="229">
        <f>COUNTIF(NORDESTE!S:S,"BAJO")</f>
        <v>0</v>
      </c>
      <c r="G15" s="230">
        <f>(F15/$B$15)*100</f>
        <v>0</v>
      </c>
      <c r="H15" s="229">
        <f>COUNTIF(NORDESTE!S:S,"MEDIO")</f>
        <v>1</v>
      </c>
      <c r="I15" s="230">
        <f>(H15/$B$15)*100</f>
        <v>0.86956521739130432</v>
      </c>
      <c r="J15" s="229">
        <f>COUNTIF(NORDESTE!S:S,"ALTO")</f>
        <v>4</v>
      </c>
      <c r="K15" s="230">
        <f>(J15/$B$15)*100</f>
        <v>3.4782608695652173</v>
      </c>
      <c r="L15" s="229">
        <f>COUNTIF(NORDESTE!S:S,"INVIABLE SANITARIAMENTE")</f>
        <v>84</v>
      </c>
      <c r="M15" s="230">
        <f>(L15/$B$15)*100</f>
        <v>73.043478260869563</v>
      </c>
      <c r="N15" s="229">
        <f t="shared" si="1"/>
        <v>10</v>
      </c>
      <c r="O15" s="230">
        <f>(N15/$B$15)*100</f>
        <v>8.695652173913043</v>
      </c>
    </row>
    <row r="16" spans="1:15" s="28" customFormat="1" ht="15.75">
      <c r="A16" s="228" t="s">
        <v>228</v>
      </c>
      <c r="B16" s="229">
        <f>'CONSOLIDADO-ACUEDUCTOSRURALES1'!D141</f>
        <v>548</v>
      </c>
      <c r="C16" s="230">
        <f t="shared" si="0"/>
        <v>23.210504023718766</v>
      </c>
      <c r="D16" s="229">
        <f>COUNTIF(ORIENTE!S:S,"SIN RIESGO")</f>
        <v>187</v>
      </c>
      <c r="E16" s="230">
        <f>(D16/$B$16)*100</f>
        <v>34.124087591240873</v>
      </c>
      <c r="F16" s="229">
        <f>COUNTIF(ORIENTE!S:S,"BAJO")</f>
        <v>37</v>
      </c>
      <c r="G16" s="230">
        <f>(F16/$B$16)*100</f>
        <v>6.7518248175182478</v>
      </c>
      <c r="H16" s="229">
        <f>COUNTIF(ORIENTE!S:S,"MEDIO")</f>
        <v>36</v>
      </c>
      <c r="I16" s="230">
        <f>(H16/$B$16)*100</f>
        <v>6.5693430656934311</v>
      </c>
      <c r="J16" s="229">
        <f>COUNTIF(ORIENTE!S:S,"ALTO")</f>
        <v>83</v>
      </c>
      <c r="K16" s="230">
        <f>(J16/$B$16)*100</f>
        <v>15.145985401459855</v>
      </c>
      <c r="L16" s="229">
        <f>COUNTIF(ORIENTE!S:S,"INVIABLE SANITARIAMENTE")</f>
        <v>159</v>
      </c>
      <c r="M16" s="230">
        <f>(L16/$B$16)*100</f>
        <v>29.014598540145986</v>
      </c>
      <c r="N16" s="229">
        <f t="shared" si="1"/>
        <v>46</v>
      </c>
      <c r="O16" s="230">
        <f>(N16/$B$16)*100</f>
        <v>8.3941605839416056</v>
      </c>
    </row>
    <row r="17" spans="1:16" ht="24.75" customHeight="1">
      <c r="A17" s="70" t="s">
        <v>220</v>
      </c>
      <c r="B17" s="67">
        <f>SUM(B8:B16)</f>
        <v>2361</v>
      </c>
      <c r="C17" s="69">
        <f>SUM(C8:C16)</f>
        <v>99.999999999999986</v>
      </c>
      <c r="D17" s="67">
        <f>SUM(D8:D16)</f>
        <v>409</v>
      </c>
      <c r="E17" s="69">
        <f>(D17/$B$17)*100</f>
        <v>17.323168149089369</v>
      </c>
      <c r="F17" s="67">
        <f>SUM(F8:F16)</f>
        <v>82</v>
      </c>
      <c r="G17" s="69">
        <f>(F17/$B$17)*100</f>
        <v>3.4731046166878441</v>
      </c>
      <c r="H17" s="67">
        <f>SUM(H8:H16)</f>
        <v>148</v>
      </c>
      <c r="I17" s="69">
        <f>(H17/$B$17)*100</f>
        <v>6.2685302837780608</v>
      </c>
      <c r="J17" s="67">
        <f>SUM(J8:J16)</f>
        <v>438</v>
      </c>
      <c r="K17" s="69">
        <f>(J17/$B$17)*100</f>
        <v>18.551461245235071</v>
      </c>
      <c r="L17" s="67">
        <f>SUM(L8:L16)</f>
        <v>1084</v>
      </c>
      <c r="M17" s="69">
        <f>(L17/$B$17)*100</f>
        <v>45.912748835239306</v>
      </c>
      <c r="N17" s="67">
        <f>SUM(N8:N16)</f>
        <v>200</v>
      </c>
      <c r="O17" s="69">
        <f>(N17/$B$17)*100</f>
        <v>8.4709868699703517</v>
      </c>
    </row>
    <row r="18" spans="1:16">
      <c r="A18" s="33"/>
      <c r="B18" s="62"/>
      <c r="C18" s="33"/>
      <c r="D18" s="62"/>
      <c r="E18" s="33"/>
      <c r="F18" s="62"/>
      <c r="G18" s="33"/>
      <c r="H18" s="62"/>
      <c r="I18" s="33"/>
      <c r="J18" s="62"/>
      <c r="K18" s="33"/>
      <c r="L18" s="62"/>
      <c r="M18" s="33"/>
      <c r="N18" s="62"/>
      <c r="O18" s="33"/>
    </row>
    <row r="19" spans="1:16">
      <c r="A19" s="33"/>
      <c r="B19" s="62"/>
      <c r="C19" s="33"/>
      <c r="D19" s="62"/>
      <c r="E19" s="33"/>
      <c r="F19" s="62"/>
      <c r="G19" s="33"/>
      <c r="H19" s="62"/>
      <c r="I19" s="33"/>
      <c r="J19" s="62"/>
      <c r="K19" s="33"/>
      <c r="L19" s="62"/>
      <c r="M19" s="33"/>
      <c r="N19" s="62"/>
      <c r="O19" s="33"/>
    </row>
    <row r="20" spans="1:16">
      <c r="A20" s="33"/>
      <c r="B20" s="62"/>
      <c r="C20" s="33"/>
      <c r="D20" s="62"/>
      <c r="E20" s="33"/>
      <c r="F20" s="62"/>
      <c r="G20" s="33"/>
      <c r="H20" s="62"/>
      <c r="I20" s="33"/>
      <c r="J20" s="62"/>
      <c r="K20" s="33"/>
      <c r="L20" s="62"/>
      <c r="M20" s="33"/>
      <c r="N20" s="62"/>
      <c r="O20" s="33"/>
    </row>
    <row r="21" spans="1:16">
      <c r="A21" s="33"/>
      <c r="B21" s="62"/>
      <c r="C21" s="33"/>
      <c r="D21" s="62"/>
      <c r="E21" s="33"/>
      <c r="F21" s="62"/>
      <c r="G21" s="33"/>
      <c r="H21" s="62"/>
      <c r="I21" s="33"/>
      <c r="J21" s="62"/>
      <c r="K21" s="33"/>
      <c r="L21" s="62"/>
      <c r="M21" s="33"/>
      <c r="N21" s="62"/>
      <c r="O21" s="33"/>
    </row>
    <row r="22" spans="1:16" ht="25.5" customHeight="1">
      <c r="A22" s="732" t="s">
        <v>4461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4"/>
      <c r="P22" s="24"/>
    </row>
    <row r="23" spans="1:16" ht="129.75" customHeight="1">
      <c r="A23" s="246" t="s">
        <v>11</v>
      </c>
      <c r="B23" s="68" t="s">
        <v>249</v>
      </c>
      <c r="C23" s="246" t="s">
        <v>101</v>
      </c>
      <c r="D23" s="249" t="s">
        <v>243</v>
      </c>
      <c r="E23" s="246" t="s">
        <v>101</v>
      </c>
      <c r="F23" s="250" t="s">
        <v>244</v>
      </c>
      <c r="G23" s="246" t="s">
        <v>101</v>
      </c>
      <c r="H23" s="251" t="s">
        <v>245</v>
      </c>
      <c r="I23" s="246" t="s">
        <v>101</v>
      </c>
      <c r="J23" s="252" t="s">
        <v>246</v>
      </c>
      <c r="K23" s="246" t="s">
        <v>101</v>
      </c>
      <c r="L23" s="253" t="s">
        <v>247</v>
      </c>
      <c r="M23" s="246" t="s">
        <v>101</v>
      </c>
      <c r="N23" s="68" t="s">
        <v>248</v>
      </c>
      <c r="O23" s="246" t="s">
        <v>101</v>
      </c>
      <c r="P23" s="24"/>
    </row>
    <row r="24" spans="1:16" ht="15.75">
      <c r="A24" s="285" t="s">
        <v>102</v>
      </c>
      <c r="B24" s="44">
        <f>'CONSOLIDADO-ACUEDUCTOSRURALES1'!D8</f>
        <v>22</v>
      </c>
      <c r="C24" s="48">
        <f t="shared" ref="C24:C33" si="2">(B24/$B$34)*100</f>
        <v>11</v>
      </c>
      <c r="D24" s="223">
        <f>COUNTIFS('VALLE DE ABURRA'!A:A,"Medellín",'VALLE DE ABURRA'!S:S,"SIN RIESGO")</f>
        <v>16</v>
      </c>
      <c r="E24" s="48">
        <f>(D24/$B$24)*100</f>
        <v>72.727272727272734</v>
      </c>
      <c r="F24" s="29">
        <f>COUNTIFS('VALLE DE ABURRA'!A:A,"Medellín",'VALLE DE ABURRA'!S:S,"BAJO")</f>
        <v>5</v>
      </c>
      <c r="G24" s="48">
        <f>(F24/$B$24)*100</f>
        <v>22.727272727272727</v>
      </c>
      <c r="H24" s="29">
        <f>COUNTIFS('VALLE DE ABURRA'!A:A,"Medellín",'VALLE DE ABURRA'!S:S,"MEDIO")</f>
        <v>1</v>
      </c>
      <c r="I24" s="48">
        <f>(H24/$B$24)*100</f>
        <v>4.5454545454545459</v>
      </c>
      <c r="J24" s="29">
        <f>COUNTIFS('VALLE DE ABURRA'!A:A,"Medellín",'VALLE DE ABURRA'!S:S,"ALTO")</f>
        <v>0</v>
      </c>
      <c r="K24" s="48">
        <f>(J24/$B$24)*100</f>
        <v>0</v>
      </c>
      <c r="L24" s="29">
        <f>COUNTIFS('VALLE DE ABURRA'!A:A,"Medellín",'VALLE DE ABURRA'!S:S,"INVIABLE SANITARIAMENTE")</f>
        <v>0</v>
      </c>
      <c r="M24" s="48">
        <f>(L24/$B$24)*100</f>
        <v>0</v>
      </c>
      <c r="N24" s="29">
        <f>B24-(D24+F24+H24+J24+L24)</f>
        <v>0</v>
      </c>
      <c r="O24" s="48">
        <f>(N24/$B$24)*100</f>
        <v>0</v>
      </c>
      <c r="P24" s="24"/>
    </row>
    <row r="25" spans="1:16" ht="15.75">
      <c r="A25" s="285" t="s">
        <v>77</v>
      </c>
      <c r="B25" s="29">
        <f>'CONSOLIDADO-ACUEDUCTOSRURALES1'!D9</f>
        <v>63</v>
      </c>
      <c r="C25" s="48">
        <f t="shared" si="2"/>
        <v>31.5</v>
      </c>
      <c r="D25" s="29">
        <f>COUNTIFS('VALLE DE ABURRA'!A:A,"Barbosa",'VALLE DE ABURRA'!S:S,"SIN RIESGO")</f>
        <v>1</v>
      </c>
      <c r="E25" s="48">
        <f>(D25/$B$25)*100</f>
        <v>1.5873015873015872</v>
      </c>
      <c r="F25" s="29">
        <f>COUNTIFS('VALLE DE ABURRA'!A:A,"Barbosa",'VALLE DE ABURRA'!S:S,"BAJO")</f>
        <v>1</v>
      </c>
      <c r="G25" s="48">
        <f>(F25/$B$25)*100</f>
        <v>1.5873015873015872</v>
      </c>
      <c r="H25" s="29">
        <f>COUNTIFS('VALLE DE ABURRA'!A:A,"Barbosa",'VALLE DE ABURRA'!S:S,"MEDIO")</f>
        <v>9</v>
      </c>
      <c r="I25" s="48">
        <f>(H25/$B$25)*100</f>
        <v>14.285714285714285</v>
      </c>
      <c r="J25" s="29">
        <f>COUNTIFS('VALLE DE ABURRA'!A:A,"Barbosa",'VALLE DE ABURRA'!S:S,"ALTO")</f>
        <v>23</v>
      </c>
      <c r="K25" s="48">
        <f>(J25/$B$25)*100</f>
        <v>36.507936507936506</v>
      </c>
      <c r="L25" s="29">
        <f>COUNTIFS('VALLE DE ABURRA'!A:A,"Barbosa",'VALLE DE ABURRA'!S:S,"INVIABLE SANITARIAMENTE")</f>
        <v>26</v>
      </c>
      <c r="M25" s="48">
        <f>(L25/$B$25)*100</f>
        <v>41.269841269841265</v>
      </c>
      <c r="N25" s="205">
        <f>B25-(D25+F25+H25+J25+L25)</f>
        <v>3</v>
      </c>
      <c r="O25" s="48">
        <f>(N25/$B$25)*100</f>
        <v>4.7619047619047619</v>
      </c>
      <c r="P25" s="24"/>
    </row>
    <row r="26" spans="1:16" ht="15.75">
      <c r="A26" s="285" t="s">
        <v>78</v>
      </c>
      <c r="B26" s="29">
        <f>'CONSOLIDADO-ACUEDUCTOSRURALES1'!D10</f>
        <v>10</v>
      </c>
      <c r="C26" s="48">
        <f t="shared" si="2"/>
        <v>5</v>
      </c>
      <c r="D26" s="29">
        <f>COUNTIFS('VALLE DE ABURRA'!A:A,"Bello",'VALLE DE ABURRA'!S:S,"SIN RIESGO")</f>
        <v>3</v>
      </c>
      <c r="E26" s="48">
        <f>(D26/$B$26)*100</f>
        <v>30</v>
      </c>
      <c r="F26" s="29">
        <f>COUNTIFS('VALLE DE ABURRA'!A:A,"Bello",'VALLE DE ABURRA'!S:S,"BAJO")</f>
        <v>0</v>
      </c>
      <c r="G26" s="48">
        <f>(F26/$B$26)*100</f>
        <v>0</v>
      </c>
      <c r="H26" s="29">
        <f>COUNTIFS('VALLE DE ABURRA'!A:A,"Bello",'VALLE DE ABURRA'!S:S,"MEDIO")</f>
        <v>3</v>
      </c>
      <c r="I26" s="48">
        <f>(H26/$B$26)*100</f>
        <v>30</v>
      </c>
      <c r="J26" s="29">
        <f>COUNTIFS('VALLE DE ABURRA'!A:A,"Bello",'VALLE DE ABURRA'!S:S,"ALTO")</f>
        <v>3</v>
      </c>
      <c r="K26" s="48">
        <f>(J26/$B$26)*100</f>
        <v>30</v>
      </c>
      <c r="L26" s="29">
        <f>COUNTIFS('VALLE DE ABURRA'!A:A,"Bello",'VALLE DE ABURRA'!S:S,"INVIABLE SANITARIAMENTE")</f>
        <v>0</v>
      </c>
      <c r="M26" s="48">
        <f>(L26/$B$26)*100</f>
        <v>0</v>
      </c>
      <c r="N26" s="205">
        <f t="shared" ref="N26:N33" si="3">B26-(D26+F26+H26+J26+L26)</f>
        <v>1</v>
      </c>
      <c r="O26" s="48">
        <f>(N26/$B$26)*100</f>
        <v>10</v>
      </c>
      <c r="P26" s="24"/>
    </row>
    <row r="27" spans="1:16" ht="15.75">
      <c r="A27" s="285" t="s">
        <v>103</v>
      </c>
      <c r="B27" s="29">
        <f>'CONSOLIDADO-ACUEDUCTOSRURALES1'!D11</f>
        <v>19</v>
      </c>
      <c r="C27" s="48">
        <f t="shared" si="2"/>
        <v>9.5</v>
      </c>
      <c r="D27" s="29">
        <f>COUNTIFS('VALLE DE ABURRA'!A:A,"Caldas",'VALLE DE ABURRA'!S:S,"SIN RIESGO")</f>
        <v>1</v>
      </c>
      <c r="E27" s="48">
        <f>(D27/$B$27)*100</f>
        <v>5.2631578947368416</v>
      </c>
      <c r="F27" s="29">
        <f>COUNTIFS('VALLE DE ABURRA'!A:A,"Caldas",'VALLE DE ABURRA'!S:S,"BAJO")</f>
        <v>2</v>
      </c>
      <c r="G27" s="48">
        <f>(F27/$B$27)*100</f>
        <v>10.526315789473683</v>
      </c>
      <c r="H27" s="29">
        <f>COUNTIFS('VALLE DE ABURRA'!A:A,"Caldas",'VALLE DE ABURRA'!S:S,"MEDIO")</f>
        <v>1</v>
      </c>
      <c r="I27" s="48">
        <f>(H27/$B$27)*100</f>
        <v>5.2631578947368416</v>
      </c>
      <c r="J27" s="29">
        <f>COUNTIFS('VALLE DE ABURRA'!A:A,"Caldas",'VALLE DE ABURRA'!S:S,"ALTO")</f>
        <v>13</v>
      </c>
      <c r="K27" s="48">
        <f>(J27/$B$27)*100</f>
        <v>68.421052631578945</v>
      </c>
      <c r="L27" s="29">
        <f>COUNTIFS('VALLE DE ABURRA'!A:A,"Caldas",'VALLE DE ABURRA'!S:S,"INVIABLE SANITARIAMENTE")</f>
        <v>2</v>
      </c>
      <c r="M27" s="48">
        <f>(L27/$B$27)*100</f>
        <v>10.526315789473683</v>
      </c>
      <c r="N27" s="205">
        <f t="shared" si="3"/>
        <v>0</v>
      </c>
      <c r="O27" s="48">
        <f>(N27/$B$27)*100</f>
        <v>0</v>
      </c>
      <c r="P27" s="24"/>
    </row>
    <row r="28" spans="1:16" ht="15.75">
      <c r="A28" s="285" t="s">
        <v>104</v>
      </c>
      <c r="B28" s="29">
        <f>'CONSOLIDADO-ACUEDUCTOSRURALES1'!D12</f>
        <v>19</v>
      </c>
      <c r="C28" s="48">
        <f t="shared" si="2"/>
        <v>9.5</v>
      </c>
      <c r="D28" s="29">
        <f>COUNTIFS('VALLE DE ABURRA'!A:A,"Copacabana",'VALLE DE ABURRA'!S:S,"SIN RIESGO")</f>
        <v>1</v>
      </c>
      <c r="E28" s="48">
        <f>(D28/$B$28)*100</f>
        <v>5.2631578947368416</v>
      </c>
      <c r="F28" s="29">
        <f>COUNTIFS('VALLE DE ABURRA'!A:A,"Copacabana",'VALLE DE ABURRA'!S:S,"BAJO")</f>
        <v>6</v>
      </c>
      <c r="G28" s="48">
        <f>(F28/$B$28)*100</f>
        <v>31.578947368421051</v>
      </c>
      <c r="H28" s="29">
        <f>COUNTIFS('VALLE DE ABURRA'!A:A,"Copacabana",'VALLE DE ABURRA'!S:S,"MEDIO")</f>
        <v>7</v>
      </c>
      <c r="I28" s="48">
        <f>(H28/$B$28)*100</f>
        <v>36.84210526315789</v>
      </c>
      <c r="J28" s="29">
        <f>COUNTIFS('VALLE DE ABURRA'!A:A,"Copacabana",'VALLE DE ABURRA'!S:S,"ALTO")</f>
        <v>4</v>
      </c>
      <c r="K28" s="48">
        <f>(J28/$B$28)*100</f>
        <v>21.052631578947366</v>
      </c>
      <c r="L28" s="29">
        <f>COUNTIFS('VALLE DE ABURRA'!A:A,"Copacabana",'VALLE DE ABURRA'!S:S,"INVIABLE SANITARIAMENTE")</f>
        <v>1</v>
      </c>
      <c r="M28" s="48">
        <f>(L28/$B$28)*100</f>
        <v>5.2631578947368416</v>
      </c>
      <c r="N28" s="205">
        <f t="shared" si="3"/>
        <v>0</v>
      </c>
      <c r="O28" s="48">
        <f>(N28/$B$28)*100</f>
        <v>0</v>
      </c>
      <c r="P28" s="24"/>
    </row>
    <row r="29" spans="1:16" ht="15.75">
      <c r="A29" s="285" t="s">
        <v>79</v>
      </c>
      <c r="B29" s="29">
        <f>'CONSOLIDADO-ACUEDUCTOSRURALES1'!D13</f>
        <v>26</v>
      </c>
      <c r="C29" s="48">
        <f t="shared" si="2"/>
        <v>13</v>
      </c>
      <c r="D29" s="29">
        <f>COUNTIFS('VALLE DE ABURRA'!A:A,"Girardota",'VALLE DE ABURRA'!S:S,"SIN RIESGO")</f>
        <v>1</v>
      </c>
      <c r="E29" s="48">
        <f>(D29/$B$29)*100</f>
        <v>3.8461538461538463</v>
      </c>
      <c r="F29" s="29">
        <f>COUNTIFS('VALLE DE ABURRA'!A:A,"Girardota",'VALLE DE ABURRA'!S:S,"BAJO")</f>
        <v>3</v>
      </c>
      <c r="G29" s="48">
        <f>(F29/$B$29)*100</f>
        <v>11.538461538461538</v>
      </c>
      <c r="H29" s="29">
        <f>COUNTIFS('VALLE DE ABURRA'!A:A,"Girardota",'VALLE DE ABURRA'!S:S,"MEDIO")</f>
        <v>12</v>
      </c>
      <c r="I29" s="48">
        <f>(H29/$B$29)*100</f>
        <v>46.153846153846153</v>
      </c>
      <c r="J29" s="29">
        <f>COUNTIFS('VALLE DE ABURRA'!A:A,"Girardota",'VALLE DE ABURRA'!S:S,"ALTO")</f>
        <v>8</v>
      </c>
      <c r="K29" s="48">
        <f>(J29/$B$29)*100</f>
        <v>30.76923076923077</v>
      </c>
      <c r="L29" s="29">
        <f>COUNTIFS('VALLE DE ABURRA'!A:A,"Girardota",'VALLE DE ABURRA'!S:S,"INVIABLE SANITARIAMENTE")</f>
        <v>2</v>
      </c>
      <c r="M29" s="48">
        <f>(L29/$B$29)*100</f>
        <v>7.6923076923076925</v>
      </c>
      <c r="N29" s="205">
        <f t="shared" si="3"/>
        <v>0</v>
      </c>
      <c r="O29" s="48">
        <f>(N29/$B$29)*100</f>
        <v>0</v>
      </c>
      <c r="P29" s="24"/>
    </row>
    <row r="30" spans="1:16" ht="15.75">
      <c r="A30" s="285" t="s">
        <v>105</v>
      </c>
      <c r="B30" s="29">
        <f>'CONSOLIDADO-ACUEDUCTOSRURALES1'!D14</f>
        <v>8</v>
      </c>
      <c r="C30" s="48">
        <f t="shared" si="2"/>
        <v>4</v>
      </c>
      <c r="D30" s="29">
        <f>COUNTIFS('VALLE DE ABURRA'!A:A,"Itagui",'VALLE DE ABURRA'!S:S,"SIN RIESGO")</f>
        <v>0</v>
      </c>
      <c r="E30" s="48">
        <f>(D30/$B$30)*100</f>
        <v>0</v>
      </c>
      <c r="F30" s="29">
        <f>COUNTIFS('VALLE DE ABURRA'!A:A,"Itagui",'VALLE DE ABURRA'!S:S,"BAJO")</f>
        <v>1</v>
      </c>
      <c r="G30" s="48">
        <f>(F30/$B$30)*100</f>
        <v>12.5</v>
      </c>
      <c r="H30" s="29">
        <f>COUNTIFS('VALLE DE ABURRA'!A:A,"Itagui",'VALLE DE ABURRA'!S:S,"MEDIO")</f>
        <v>6</v>
      </c>
      <c r="I30" s="48">
        <f>(H30/$B$30)*100</f>
        <v>75</v>
      </c>
      <c r="J30" s="29">
        <f>COUNTIFS('VALLE DE ABURRA'!A:A,"Itagui",'VALLE DE ABURRA'!S:S,"ALTO")</f>
        <v>1</v>
      </c>
      <c r="K30" s="48">
        <f>(J30/$B$30)*100</f>
        <v>12.5</v>
      </c>
      <c r="L30" s="29">
        <f>COUNTIFS('VALLE DE ABURRA'!A:A,"Itagui",'VALLE DE ABURRA'!S:S,"INVIABLE SANITARIAMENTE")</f>
        <v>0</v>
      </c>
      <c r="M30" s="48">
        <f>(L30/$B$30)*100</f>
        <v>0</v>
      </c>
      <c r="N30" s="205">
        <f t="shared" si="3"/>
        <v>0</v>
      </c>
      <c r="O30" s="48">
        <f>(N30/$B$30)*100</f>
        <v>0</v>
      </c>
      <c r="P30" s="24"/>
    </row>
    <row r="31" spans="1:16" ht="15.75">
      <c r="A31" s="285" t="s">
        <v>106</v>
      </c>
      <c r="B31" s="29">
        <f>'CONSOLIDADO-ACUEDUCTOSRURALES1'!D15</f>
        <v>15</v>
      </c>
      <c r="C31" s="48">
        <f t="shared" si="2"/>
        <v>7.5</v>
      </c>
      <c r="D31" s="29">
        <f>COUNTIFS('VALLE DE ABURRA'!A:A,"Envigado",'VALLE DE ABURRA'!S:S,"SIN RIESGO")</f>
        <v>7</v>
      </c>
      <c r="E31" s="48">
        <f>(D31/$B$31)*100</f>
        <v>46.666666666666664</v>
      </c>
      <c r="F31" s="29">
        <f>COUNTIFS('VALLE DE ABURRA'!A:A,"Envigado",'VALLE DE ABURRA'!S:S,"BAJO")</f>
        <v>3</v>
      </c>
      <c r="G31" s="48">
        <f>(F31/$B$31)*100</f>
        <v>20</v>
      </c>
      <c r="H31" s="29">
        <f>COUNTIFS('VALLE DE ABURRA'!A:A,"Envigado",'VALLE DE ABURRA'!S:S,"MEDIO")</f>
        <v>4</v>
      </c>
      <c r="I31" s="48">
        <f>(H31/$B$31)*100</f>
        <v>26.666666666666668</v>
      </c>
      <c r="J31" s="29">
        <f>COUNTIFS('VALLE DE ABURRA'!A:A,"Envigado",'VALLE DE ABURRA'!S:S,"ALTO")</f>
        <v>1</v>
      </c>
      <c r="K31" s="48">
        <f>(J31/$B$31)*100</f>
        <v>6.666666666666667</v>
      </c>
      <c r="L31" s="29">
        <f>COUNTIFS('VALLE DE ABURRA'!A:A,"Envigado",'VALLE DE ABURRA'!S:S,"INVIABLE SANITARIAMENTE")</f>
        <v>0</v>
      </c>
      <c r="M31" s="48">
        <f>(L31/$B$31)*100</f>
        <v>0</v>
      </c>
      <c r="N31" s="205">
        <f t="shared" si="3"/>
        <v>0</v>
      </c>
      <c r="O31" s="48">
        <f>(N31/$B$31)*100</f>
        <v>0</v>
      </c>
      <c r="P31" s="24"/>
    </row>
    <row r="32" spans="1:16" ht="15.75">
      <c r="A32" s="285" t="s">
        <v>107</v>
      </c>
      <c r="B32" s="29">
        <f>'CONSOLIDADO-ACUEDUCTOSRURALES1'!D16</f>
        <v>7</v>
      </c>
      <c r="C32" s="48">
        <f t="shared" si="2"/>
        <v>3.5000000000000004</v>
      </c>
      <c r="D32" s="29">
        <f>COUNTIFS('VALLE DE ABURRA'!A:A,"Sabaneta",'VALLE DE ABURRA'!S:S,"SIN RIESGO")</f>
        <v>5</v>
      </c>
      <c r="E32" s="48">
        <f>(D32/$B$32)*100</f>
        <v>71.428571428571431</v>
      </c>
      <c r="F32" s="29">
        <f>COUNTIFS('VALLE DE ABURRA'!A:A,"Sabaneta",'VALLE DE ABURRA'!S:S,"BAJO")</f>
        <v>2</v>
      </c>
      <c r="G32" s="48">
        <f>(F32/$B$32)*100</f>
        <v>28.571428571428569</v>
      </c>
      <c r="H32" s="29">
        <f>COUNTIFS('VALLE DE ABURRA'!A:A,"sabaneta",'VALLE DE ABURRA'!S:S,"MEDIO")</f>
        <v>0</v>
      </c>
      <c r="I32" s="48">
        <f>(H32/$B$32)*100</f>
        <v>0</v>
      </c>
      <c r="J32" s="29">
        <f>COUNTIFS('VALLE DE ABURRA'!A:A,"Sabaneta",'VALLE DE ABURRA'!S:S,"ALTO")</f>
        <v>0</v>
      </c>
      <c r="K32" s="48">
        <f>(J32/$B$32)*100</f>
        <v>0</v>
      </c>
      <c r="L32" s="29">
        <f>COUNTIFS('VALLE DE ABURRA'!A:A,"Sabaneta",'VALLE DE ABURRA'!S:S,"INVIABLE SANITARIAMENTE")</f>
        <v>0</v>
      </c>
      <c r="M32" s="48">
        <f>(L32/$B$32)*100</f>
        <v>0</v>
      </c>
      <c r="N32" s="205">
        <f t="shared" si="3"/>
        <v>0</v>
      </c>
      <c r="O32" s="48">
        <f>(N32/$B$32)*100</f>
        <v>0</v>
      </c>
      <c r="P32" s="24"/>
    </row>
    <row r="33" spans="1:16" ht="15.75">
      <c r="A33" s="285" t="s">
        <v>108</v>
      </c>
      <c r="B33" s="29">
        <f>'CONSOLIDADO-ACUEDUCTOSRURALES1'!D17</f>
        <v>11</v>
      </c>
      <c r="C33" s="48">
        <f t="shared" si="2"/>
        <v>5.5</v>
      </c>
      <c r="D33" s="29">
        <f>COUNTIFS('VALLE DE ABURRA'!A:A,"La Estrella",'VALLE DE ABURRA'!S:S,"SIN RIESGO")</f>
        <v>3</v>
      </c>
      <c r="E33" s="48">
        <f>(D33/$B$33)*100</f>
        <v>27.27272727272727</v>
      </c>
      <c r="F33" s="29">
        <f>COUNTIFS('VALLE DE ABURRA'!A:A,"La Estrella",'VALLE DE ABURRA'!S:S,"BAJO")</f>
        <v>1</v>
      </c>
      <c r="G33" s="48">
        <f>(F33/$B$33)*100</f>
        <v>9.0909090909090917</v>
      </c>
      <c r="H33" s="29">
        <f>COUNTIFS('VALLE DE ABURRA'!A:A,"La Estrella",'VALLE DE ABURRA'!S:S,"MEDIO")</f>
        <v>5</v>
      </c>
      <c r="I33" s="48">
        <f>(H33/$B$33)*100</f>
        <v>45.454545454545453</v>
      </c>
      <c r="J33" s="29">
        <f>COUNTIFS('VALLE DE ABURRA'!A:A,"La Estrella",'VALLE DE ABURRA'!S:S,"ALTO")</f>
        <v>2</v>
      </c>
      <c r="K33" s="48">
        <f>(J33/$B$33)*100</f>
        <v>18.181818181818183</v>
      </c>
      <c r="L33" s="29">
        <f>COUNTIFS('VALLE DE ABURRA'!A:A,"La Estrella",'VALLE DE ABURRA'!S:S,"INVIABLE SANITARIAMENTE")</f>
        <v>0</v>
      </c>
      <c r="M33" s="48">
        <f>(L33/$B$33)*100</f>
        <v>0</v>
      </c>
      <c r="N33" s="205">
        <f t="shared" si="3"/>
        <v>0</v>
      </c>
      <c r="O33" s="48">
        <f>(N33/$B$33)*100</f>
        <v>0</v>
      </c>
      <c r="P33" s="24"/>
    </row>
    <row r="34" spans="1:16" s="23" customFormat="1" ht="27.75" customHeight="1">
      <c r="A34" s="71" t="s">
        <v>220</v>
      </c>
      <c r="B34" s="72">
        <f>SUM(B24:B33)</f>
        <v>200</v>
      </c>
      <c r="C34" s="73">
        <f>SUM(C24:C33)</f>
        <v>100</v>
      </c>
      <c r="D34" s="72">
        <f>SUM(D24:D33)</f>
        <v>38</v>
      </c>
      <c r="E34" s="73">
        <f>(D34/$B$34)*100</f>
        <v>19</v>
      </c>
      <c r="F34" s="72">
        <f>SUM(F24:F33)</f>
        <v>24</v>
      </c>
      <c r="G34" s="73">
        <f>(F34/$B$34)*100</f>
        <v>12</v>
      </c>
      <c r="H34" s="72">
        <f>SUM(H24:H33)</f>
        <v>48</v>
      </c>
      <c r="I34" s="73">
        <f>(H34/$B$34)*100</f>
        <v>24</v>
      </c>
      <c r="J34" s="72">
        <f>SUM(J24:J33)</f>
        <v>55</v>
      </c>
      <c r="K34" s="73">
        <f>(J34/$B$34)*100</f>
        <v>27.500000000000004</v>
      </c>
      <c r="L34" s="72">
        <f>SUM(L24:L33)</f>
        <v>31</v>
      </c>
      <c r="M34" s="73">
        <f>(L34/$B$34)*100</f>
        <v>15.5</v>
      </c>
      <c r="N34" s="72">
        <f>SUM(N24:N33)</f>
        <v>4</v>
      </c>
      <c r="O34" s="73">
        <f>(N34/$B$34)*100</f>
        <v>2</v>
      </c>
      <c r="P34" s="25"/>
    </row>
    <row r="35" spans="1:16">
      <c r="A35" s="33"/>
      <c r="B35" s="62"/>
      <c r="C35" s="33"/>
      <c r="D35" s="62"/>
      <c r="E35" s="33"/>
      <c r="F35" s="62"/>
      <c r="G35" s="33"/>
      <c r="H35" s="62"/>
      <c r="I35" s="33"/>
      <c r="J35" s="62"/>
      <c r="K35" s="33"/>
      <c r="L35" s="62"/>
      <c r="M35" s="33"/>
      <c r="N35" s="62"/>
      <c r="O35" s="33"/>
      <c r="P35" s="4"/>
    </row>
    <row r="36" spans="1:16">
      <c r="A36" s="33"/>
      <c r="B36" s="62"/>
      <c r="C36" s="33"/>
      <c r="D36" s="62"/>
      <c r="E36" s="33"/>
      <c r="F36" s="62"/>
      <c r="G36" s="33"/>
      <c r="H36" s="62"/>
      <c r="I36" s="33"/>
      <c r="J36" s="62"/>
      <c r="K36" s="33"/>
      <c r="L36" s="62"/>
      <c r="M36" s="33"/>
      <c r="N36" s="62"/>
      <c r="O36" s="33"/>
      <c r="P36" s="4"/>
    </row>
    <row r="37" spans="1:16" ht="21.75" customHeight="1">
      <c r="A37" s="732" t="s">
        <v>4462</v>
      </c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4"/>
      <c r="P37" s="24"/>
    </row>
    <row r="38" spans="1:16" ht="120" customHeight="1">
      <c r="A38" s="246" t="s">
        <v>11</v>
      </c>
      <c r="B38" s="68" t="s">
        <v>249</v>
      </c>
      <c r="C38" s="246" t="s">
        <v>101</v>
      </c>
      <c r="D38" s="249" t="s">
        <v>243</v>
      </c>
      <c r="E38" s="246" t="s">
        <v>101</v>
      </c>
      <c r="F38" s="250" t="s">
        <v>244</v>
      </c>
      <c r="G38" s="246" t="s">
        <v>101</v>
      </c>
      <c r="H38" s="251" t="s">
        <v>245</v>
      </c>
      <c r="I38" s="246" t="s">
        <v>101</v>
      </c>
      <c r="J38" s="252" t="s">
        <v>246</v>
      </c>
      <c r="K38" s="246" t="s">
        <v>101</v>
      </c>
      <c r="L38" s="253" t="s">
        <v>247</v>
      </c>
      <c r="M38" s="246" t="s">
        <v>101</v>
      </c>
      <c r="N38" s="68" t="s">
        <v>248</v>
      </c>
      <c r="O38" s="246" t="s">
        <v>101</v>
      </c>
      <c r="P38" s="24"/>
    </row>
    <row r="39" spans="1:16" ht="15.75">
      <c r="A39" s="58" t="s">
        <v>111</v>
      </c>
      <c r="B39" s="44">
        <f>'CONSOLIDADO-ACUEDUCTOSRURALES1'!D19</f>
        <v>10</v>
      </c>
      <c r="C39" s="48">
        <f>(B39/$B$50)*100</f>
        <v>9.1743119266055047</v>
      </c>
      <c r="D39" s="44">
        <f>COUNTIFS(URABA!A:A,"Apartadó",URABA!S:S,"SIN RIESGO")</f>
        <v>2</v>
      </c>
      <c r="E39" s="48">
        <f>(D39/$B$39)*100</f>
        <v>20</v>
      </c>
      <c r="F39" s="44">
        <f>COUNTIFS(URABA!A:A,"Apartadó",URABA!S:S,"BAJO")</f>
        <v>0</v>
      </c>
      <c r="G39" s="48">
        <f>(F39/$B$39)*100</f>
        <v>0</v>
      </c>
      <c r="H39" s="44">
        <f>COUNTIFS(URABA!A:A,"Apartadó",URABA!S:S,"MEDIO")</f>
        <v>3</v>
      </c>
      <c r="I39" s="48">
        <f>(H39/$B$39)*100</f>
        <v>30</v>
      </c>
      <c r="J39" s="44">
        <f>COUNTIFS(URABA!A:A,"Apartadó",URABA!S:S,"ALTO")</f>
        <v>3</v>
      </c>
      <c r="K39" s="48">
        <f>(J39/$B$39)*100</f>
        <v>30</v>
      </c>
      <c r="L39" s="44">
        <f>COUNTIFS(URABA!A:A,"Apartadó",URABA!S:S,"INVIABLE SANITARIAMENTE")</f>
        <v>2</v>
      </c>
      <c r="M39" s="48">
        <f>(L39/$B$39)*100</f>
        <v>20</v>
      </c>
      <c r="N39" s="44">
        <f>B39-(D39+F39+H39+J39+L39)</f>
        <v>0</v>
      </c>
      <c r="O39" s="48">
        <f>(N39/$B$39)*100</f>
        <v>0</v>
      </c>
      <c r="P39" s="24"/>
    </row>
    <row r="40" spans="1:16" ht="15.75">
      <c r="A40" s="58" t="s">
        <v>112</v>
      </c>
      <c r="B40" s="44">
        <f>'CONSOLIDADO-ACUEDUCTOSRURALES1'!D20</f>
        <v>22</v>
      </c>
      <c r="C40" s="48">
        <f>(B40/$B$50)*100</f>
        <v>20.183486238532112</v>
      </c>
      <c r="D40" s="44">
        <f>COUNTIFS(URABA!A:A,"Arboletes",URABA!S:S,"SIN RIESGO")</f>
        <v>0</v>
      </c>
      <c r="E40" s="48">
        <f>(D40/$B$40)*100</f>
        <v>0</v>
      </c>
      <c r="F40" s="44">
        <f>COUNTIFS(URABA!A:A,"Arboletes",URABA!S:S,"BAJO")</f>
        <v>0</v>
      </c>
      <c r="G40" s="48">
        <f>(F40/$B$40)*100</f>
        <v>0</v>
      </c>
      <c r="H40" s="44">
        <f>COUNTIFS(URABA!A:A,"Arboletes",URABA!S:S,"MEDIO")</f>
        <v>0</v>
      </c>
      <c r="I40" s="48">
        <f>(H40/$B$40)*100</f>
        <v>0</v>
      </c>
      <c r="J40" s="44">
        <f>COUNTIFS(URABA!A:A,"Arboletes",URABA!S:S,"ALTO")</f>
        <v>0</v>
      </c>
      <c r="K40" s="48">
        <f>(J40/$B$40)*100</f>
        <v>0</v>
      </c>
      <c r="L40" s="44">
        <f>COUNTIFS(URABA!A:A,"Arboletes",URABA!S:S,"INVIABLE SANITARIAMENTE")</f>
        <v>20</v>
      </c>
      <c r="M40" s="48">
        <f>(L40/$B$40)*100</f>
        <v>90.909090909090907</v>
      </c>
      <c r="N40" s="203">
        <f t="shared" ref="N40:N49" si="4">B40-(D40+F40+H40+J40+L40)</f>
        <v>2</v>
      </c>
      <c r="O40" s="48">
        <f>(N40/$B$40)*100</f>
        <v>9.0909090909090917</v>
      </c>
      <c r="P40" s="24"/>
    </row>
    <row r="41" spans="1:16" ht="15.75">
      <c r="A41" s="58" t="s">
        <v>113</v>
      </c>
      <c r="B41" s="44">
        <f>'CONSOLIDADO-ACUEDUCTOSRURALES1'!D21</f>
        <v>15</v>
      </c>
      <c r="C41" s="48">
        <f t="shared" ref="C41:C49" si="5">(B41/$B$50)*100</f>
        <v>13.761467889908257</v>
      </c>
      <c r="D41" s="44">
        <f>COUNTIFS(URABA!A:A,"Carepa",URABA!S:S,"SIN RIESGO")</f>
        <v>1</v>
      </c>
      <c r="E41" s="48">
        <f>(D41/$B$41)*100</f>
        <v>6.666666666666667</v>
      </c>
      <c r="F41" s="44">
        <f>COUNTIFS(URABA!A:A,"Carepa",URABA!S:S,"BAJO")</f>
        <v>0</v>
      </c>
      <c r="G41" s="48">
        <f>(F41/$B$41)*100</f>
        <v>0</v>
      </c>
      <c r="H41" s="44">
        <f>COUNTIFS(URABA!A:A,"Carepa",URABA!S:S,"MEDIO")</f>
        <v>1</v>
      </c>
      <c r="I41" s="48">
        <f>(H41/$B$41)*100</f>
        <v>6.666666666666667</v>
      </c>
      <c r="J41" s="44">
        <f>COUNTIFS(URABA!A:A,"Carepa",URABA!S:S,"ALTO")</f>
        <v>5</v>
      </c>
      <c r="K41" s="48">
        <f>(J41/$B$41)*100</f>
        <v>33.333333333333329</v>
      </c>
      <c r="L41" s="44">
        <f>COUNTIFS(URABA!A:A,"Carepa",URABA!S:S,"INVIABLE SANITARIAMENTE")</f>
        <v>8</v>
      </c>
      <c r="M41" s="48">
        <f>(L41/$B$41)*100</f>
        <v>53.333333333333336</v>
      </c>
      <c r="N41" s="203">
        <f t="shared" si="4"/>
        <v>0</v>
      </c>
      <c r="O41" s="48">
        <f>(N41/$B$41)*100</f>
        <v>0</v>
      </c>
      <c r="P41" s="24"/>
    </row>
    <row r="42" spans="1:16" ht="15.75">
      <c r="A42" s="58" t="s">
        <v>114</v>
      </c>
      <c r="B42" s="44">
        <f>'CONSOLIDADO-ACUEDUCTOSRURALES1'!D22</f>
        <v>4</v>
      </c>
      <c r="C42" s="48">
        <f t="shared" si="5"/>
        <v>3.669724770642202</v>
      </c>
      <c r="D42" s="44">
        <f>COUNTIFS(URABA!A:A,"Chigorodó",URABA!S:S,"SIN RIESGO")</f>
        <v>1</v>
      </c>
      <c r="E42" s="48">
        <f>(D42/$B$42)*100</f>
        <v>25</v>
      </c>
      <c r="F42" s="44">
        <f>COUNTIFS(URABA!A:A,"Chigorodó",URABA!S:S,"BAJO")</f>
        <v>3</v>
      </c>
      <c r="G42" s="48">
        <f>(F42/$B$42)*100</f>
        <v>75</v>
      </c>
      <c r="H42" s="44">
        <f>COUNTIFS(URABA!A:A,"Chigorodó",URABA!S:S,"MEDIO")</f>
        <v>0</v>
      </c>
      <c r="I42" s="48">
        <f>(H42/$B$42)*100</f>
        <v>0</v>
      </c>
      <c r="J42" s="44">
        <f>COUNTIFS(URABA!A:A,"Chigorodó",URABA!S:S,"ALTO")</f>
        <v>0</v>
      </c>
      <c r="K42" s="48">
        <f>(J42/$B$42)*100</f>
        <v>0</v>
      </c>
      <c r="L42" s="44">
        <f>COUNTIFS(URABA!A:A,"Chigorodó",URABA!S:S,"INVIABLE SANITARIAMENTE")</f>
        <v>0</v>
      </c>
      <c r="M42" s="48">
        <f>(L42/$B$42)*100</f>
        <v>0</v>
      </c>
      <c r="N42" s="203">
        <f t="shared" si="4"/>
        <v>0</v>
      </c>
      <c r="O42" s="48">
        <f>(N42/$B$42)*100</f>
        <v>0</v>
      </c>
      <c r="P42" s="24"/>
    </row>
    <row r="43" spans="1:16" ht="15.75">
      <c r="A43" s="58" t="s">
        <v>81</v>
      </c>
      <c r="B43" s="44">
        <f>'CONSOLIDADO-ACUEDUCTOSRURALES1'!D23</f>
        <v>0</v>
      </c>
      <c r="C43" s="48">
        <f t="shared" si="5"/>
        <v>0</v>
      </c>
      <c r="D43" s="44">
        <f>COUNTIFS(URABA!A:A,"Murindo",URABA!S:S,"SIN RIESGO")</f>
        <v>0</v>
      </c>
      <c r="E43" s="48">
        <v>0</v>
      </c>
      <c r="F43" s="44">
        <f>COUNTIFS(URABA!A:A,"Murindo",URABA!S:S,"BAJO")</f>
        <v>0</v>
      </c>
      <c r="G43" s="48">
        <v>0</v>
      </c>
      <c r="H43" s="44">
        <f>COUNTIFS(URABA!A:A,"Murindo",URABA!S:S,"MEDIO")</f>
        <v>0</v>
      </c>
      <c r="I43" s="48">
        <v>0</v>
      </c>
      <c r="J43" s="44">
        <f>COUNTIFS(URABA!A:A,"Murindo",URABA!S:S,"ALTO")</f>
        <v>0</v>
      </c>
      <c r="K43" s="48">
        <v>0</v>
      </c>
      <c r="L43" s="44">
        <f>COUNTIFS(URABA!A:A,"Murindo",URABA!S:S,"INVIABLE SANITARIAMENTE")</f>
        <v>0</v>
      </c>
      <c r="M43" s="48">
        <v>0</v>
      </c>
      <c r="N43" s="203">
        <f t="shared" si="4"/>
        <v>0</v>
      </c>
      <c r="O43" s="48">
        <v>0</v>
      </c>
      <c r="P43" s="24"/>
    </row>
    <row r="44" spans="1:16" ht="15.75">
      <c r="A44" s="58" t="s">
        <v>115</v>
      </c>
      <c r="B44" s="44">
        <f>'CONSOLIDADO-ACUEDUCTOSRURALES1'!D24</f>
        <v>14</v>
      </c>
      <c r="C44" s="48">
        <f t="shared" si="5"/>
        <v>12.844036697247708</v>
      </c>
      <c r="D44" s="44">
        <f>COUNTIFS(URABA!A:A,"Mutatá",URABA!S:S,"SIN RIESGO")</f>
        <v>1</v>
      </c>
      <c r="E44" s="48">
        <f>(D44/$B$44)*100</f>
        <v>7.1428571428571423</v>
      </c>
      <c r="F44" s="44">
        <f>COUNTIFS(URABA!A:A,"Mutatá",URABA!S:S,"BAJO")</f>
        <v>0</v>
      </c>
      <c r="G44" s="48">
        <f>(F44/$B$44)*100</f>
        <v>0</v>
      </c>
      <c r="H44" s="44">
        <f>COUNTIFS(URABA!A:A,"Mutatá",URABA!S:S,"MEDIO")</f>
        <v>0</v>
      </c>
      <c r="I44" s="48">
        <f>(H44/$B$44)*100</f>
        <v>0</v>
      </c>
      <c r="J44" s="44">
        <f>COUNTIFS(URABA!A:A,"Mutatá",URABA!S:S,"ALTO")</f>
        <v>10</v>
      </c>
      <c r="K44" s="48">
        <f>(J44/$B$44)*100</f>
        <v>71.428571428571431</v>
      </c>
      <c r="L44" s="44">
        <f>COUNTIFS(URABA!A:A,"Mutatá",URABA!S:S,"INVIABLE SANITARIAMENTE")</f>
        <v>0</v>
      </c>
      <c r="M44" s="48">
        <f>(L44/$B$44)*100</f>
        <v>0</v>
      </c>
      <c r="N44" s="203">
        <f t="shared" si="4"/>
        <v>3</v>
      </c>
      <c r="O44" s="48">
        <f>(N44/$B$44)*100</f>
        <v>21.428571428571427</v>
      </c>
      <c r="P44" s="24"/>
    </row>
    <row r="45" spans="1:16" ht="15.75">
      <c r="A45" s="58" t="s">
        <v>116</v>
      </c>
      <c r="B45" s="44">
        <f>'CONSOLIDADO-ACUEDUCTOSRURALES1'!D25</f>
        <v>22</v>
      </c>
      <c r="C45" s="48">
        <f t="shared" si="5"/>
        <v>20.183486238532112</v>
      </c>
      <c r="D45" s="44">
        <f>COUNTIFS(URABA!A:A,"Necoclí",URABA!S:S,"SIN RIESGO")</f>
        <v>4</v>
      </c>
      <c r="E45" s="48">
        <f>(D45/$B$45)*100</f>
        <v>18.181818181818183</v>
      </c>
      <c r="F45" s="44">
        <f>COUNTIFS(URABA!A:A,"Necoclí",URABA!S:S,"BAJO")</f>
        <v>0</v>
      </c>
      <c r="G45" s="48">
        <f>(F45/$B$45)*100</f>
        <v>0</v>
      </c>
      <c r="H45" s="44">
        <f>COUNTIFS(URABA!A:A,"Necoclí",URABA!S:S,"MEDIO")</f>
        <v>0</v>
      </c>
      <c r="I45" s="48">
        <f>(H45/$B$45)*100</f>
        <v>0</v>
      </c>
      <c r="J45" s="44">
        <f>COUNTIFS(URABA!A:A,"Necoclí",URABA!S:S,"ALTO")</f>
        <v>0</v>
      </c>
      <c r="K45" s="48">
        <f>(J45/$B$45)*100</f>
        <v>0</v>
      </c>
      <c r="L45" s="44">
        <f>COUNTIFS(URABA!A:A,"Necoclí",URABA!S:S,"INVIABLE SANITARIAMENTE")</f>
        <v>16</v>
      </c>
      <c r="M45" s="48">
        <f>(L45/$B$45)*100</f>
        <v>72.727272727272734</v>
      </c>
      <c r="N45" s="203">
        <f t="shared" si="4"/>
        <v>2</v>
      </c>
      <c r="O45" s="48">
        <f>(N45/$B$45)*100</f>
        <v>9.0909090909090917</v>
      </c>
      <c r="P45" s="24"/>
    </row>
    <row r="46" spans="1:16" ht="15.75">
      <c r="A46" s="58" t="s">
        <v>117</v>
      </c>
      <c r="B46" s="44">
        <f>'CONSOLIDADO-ACUEDUCTOSRURALES1'!D26</f>
        <v>2</v>
      </c>
      <c r="C46" s="48">
        <f t="shared" si="5"/>
        <v>1.834862385321101</v>
      </c>
      <c r="D46" s="44">
        <f>COUNTIFS(URABA!A:A,"San Juan De Urabá",URABA!S:S,"SIN RIESGO")</f>
        <v>0</v>
      </c>
      <c r="E46" s="48">
        <f>(D46/$B$46)*100</f>
        <v>0</v>
      </c>
      <c r="F46" s="44">
        <f>COUNTIFS(URABA!A:A,"San Juan De Urabá",URABA!S:S,"BAJO")</f>
        <v>0</v>
      </c>
      <c r="G46" s="48">
        <f>(F46/$B$46)*100</f>
        <v>0</v>
      </c>
      <c r="H46" s="44">
        <f>COUNTIFS(URABA!A:A,"San Juan De Urabá",URABA!S:S,"MEDIO")</f>
        <v>0</v>
      </c>
      <c r="I46" s="48">
        <f>(H46/$B$46)*100</f>
        <v>0</v>
      </c>
      <c r="J46" s="44">
        <f>COUNTIFS(URABA!A:A,"San Juan De Urabá",URABA!S:S,"ALTO")</f>
        <v>0</v>
      </c>
      <c r="K46" s="48">
        <f>(J46/$B$46)*100</f>
        <v>0</v>
      </c>
      <c r="L46" s="44">
        <f>COUNTIFS(URABA!A:A,"San Juan De Urabá",URABA!S:S,"INVIABLE SANITARIAMENTE")</f>
        <v>2</v>
      </c>
      <c r="M46" s="48">
        <f>(L46/$B$46)*100</f>
        <v>100</v>
      </c>
      <c r="N46" s="203">
        <f t="shared" si="4"/>
        <v>0</v>
      </c>
      <c r="O46" s="48">
        <f>(N46/$B$46)*100</f>
        <v>0</v>
      </c>
      <c r="P46" s="24"/>
    </row>
    <row r="47" spans="1:16" ht="15.75">
      <c r="A47" s="58" t="s">
        <v>118</v>
      </c>
      <c r="B47" s="44">
        <f>'CONSOLIDADO-ACUEDUCTOSRURALES1'!D27</f>
        <v>6</v>
      </c>
      <c r="C47" s="48">
        <f t="shared" si="5"/>
        <v>5.5045871559633035</v>
      </c>
      <c r="D47" s="44">
        <f>COUNTIFS(URABA!A:A,"San Pedro de Urabá",URABA!S:S,"SIN RIESGO")</f>
        <v>0</v>
      </c>
      <c r="E47" s="48">
        <f>(D47/$B$47)*100</f>
        <v>0</v>
      </c>
      <c r="F47" s="44">
        <f>COUNTIFS(URABA!A:A,"San Pedro de Urabá",URABA!S:S,"BAJO")</f>
        <v>0</v>
      </c>
      <c r="G47" s="48">
        <f>(F47/$B$47)*100</f>
        <v>0</v>
      </c>
      <c r="H47" s="44">
        <f>COUNTIFS(URABA!A:A,"San Pedro de Urabá",URABA!S:S,"MEDIO")</f>
        <v>0</v>
      </c>
      <c r="I47" s="48">
        <f>(H47/$B$47)*100</f>
        <v>0</v>
      </c>
      <c r="J47" s="44">
        <f>COUNTIFS(URABA!A:A,"San Pedro De Uraba",URABA!S:S,"ALTO")</f>
        <v>0</v>
      </c>
      <c r="K47" s="48">
        <f>(J47/$B$47)*100</f>
        <v>0</v>
      </c>
      <c r="L47" s="44">
        <f>COUNTIFS(URABA!A:A,"San Pedro de Urabá",URABA!S:S,"INVIABLE SANITARIAMENTE")</f>
        <v>4</v>
      </c>
      <c r="M47" s="48">
        <f>(L47/$B$47)*100</f>
        <v>66.666666666666657</v>
      </c>
      <c r="N47" s="203">
        <f t="shared" si="4"/>
        <v>2</v>
      </c>
      <c r="O47" s="48">
        <f>(N47/$B$47)*100</f>
        <v>33.333333333333329</v>
      </c>
      <c r="P47" s="24"/>
    </row>
    <row r="48" spans="1:16" ht="15.75">
      <c r="A48" s="58" t="s">
        <v>119</v>
      </c>
      <c r="B48" s="44">
        <f>'CONSOLIDADO-ACUEDUCTOSRURALES1'!D28</f>
        <v>0</v>
      </c>
      <c r="C48" s="48">
        <f t="shared" si="5"/>
        <v>0</v>
      </c>
      <c r="D48" s="44">
        <f>COUNTIFS(URABA!A:A,"Vigia Del Fuerte",URABA!S:S,"SIN RIESGO")</f>
        <v>0</v>
      </c>
      <c r="E48" s="48">
        <v>0</v>
      </c>
      <c r="F48" s="44">
        <f>COUNTIFS(URABA!A:A,"Vigia Del Fuerte",URABA!S:S,"BAJO")</f>
        <v>0</v>
      </c>
      <c r="G48" s="48">
        <v>0</v>
      </c>
      <c r="H48" s="44">
        <f>COUNTIFS(URABA!A:A,"Vigia Del Fuerte",URABA!S:S,"MEDIO")</f>
        <v>0</v>
      </c>
      <c r="I48" s="48">
        <v>0</v>
      </c>
      <c r="J48" s="44">
        <f>COUNTIFS(URABA!A:A,"Vigia Del Fuerte",URABA!S:S,"ALTO")</f>
        <v>0</v>
      </c>
      <c r="K48" s="48">
        <v>0</v>
      </c>
      <c r="L48" s="44">
        <f>COUNTIFS(URABA!A:A,"Vigia Del Fuerte",URABA!S:S,"INVIABLE SANITARIAMENTE")</f>
        <v>0</v>
      </c>
      <c r="M48" s="48">
        <v>0</v>
      </c>
      <c r="N48" s="203">
        <f t="shared" si="4"/>
        <v>0</v>
      </c>
      <c r="O48" s="48">
        <v>0</v>
      </c>
      <c r="P48" s="24"/>
    </row>
    <row r="49" spans="1:16" ht="15.75">
      <c r="A49" s="58" t="s">
        <v>120</v>
      </c>
      <c r="B49" s="44">
        <f>'CONSOLIDADO-ACUEDUCTOSRURALES1'!D29</f>
        <v>14</v>
      </c>
      <c r="C49" s="48">
        <f t="shared" si="5"/>
        <v>12.844036697247708</v>
      </c>
      <c r="D49" s="44">
        <f>COUNTIFS(URABA!A:A,"Turbo",URABA!S:S,"SIN RIESGO")</f>
        <v>3</v>
      </c>
      <c r="E49" s="48">
        <f>(D49/$B$49)*100</f>
        <v>21.428571428571427</v>
      </c>
      <c r="F49" s="44">
        <f>COUNTIFS(URABA!A:A,"Turbo",URABA!S:S,"BAJO")</f>
        <v>1</v>
      </c>
      <c r="G49" s="48">
        <f>(F49/$B$49)*100</f>
        <v>7.1428571428571423</v>
      </c>
      <c r="H49" s="44">
        <f>COUNTIFS(URABA!A:A,"Turbo",URABA!S:S,"MEDIO")</f>
        <v>1</v>
      </c>
      <c r="I49" s="48">
        <f>(H49/$B$49)*100</f>
        <v>7.1428571428571423</v>
      </c>
      <c r="J49" s="44">
        <f>COUNTIFS(URABA!A:A,"Turbo",URABA!S:S,"ALTO")</f>
        <v>3</v>
      </c>
      <c r="K49" s="48">
        <f>(J49/$B$49)*100</f>
        <v>21.428571428571427</v>
      </c>
      <c r="L49" s="44">
        <f>COUNTIFS(URABA!A:A,"Turbo",URABA!S:S,"INVIABLE SANITARIAMENTE")</f>
        <v>6</v>
      </c>
      <c r="M49" s="48">
        <f>(L49/$B$49)*100</f>
        <v>42.857142857142854</v>
      </c>
      <c r="N49" s="203">
        <f t="shared" si="4"/>
        <v>0</v>
      </c>
      <c r="O49" s="48">
        <f>(N49/$B$49)*100</f>
        <v>0</v>
      </c>
      <c r="P49" s="24"/>
    </row>
    <row r="50" spans="1:16" s="23" customFormat="1" ht="24.75" customHeight="1">
      <c r="A50" s="71" t="s">
        <v>220</v>
      </c>
      <c r="B50" s="72">
        <f>SUM(B39:B49)</f>
        <v>109</v>
      </c>
      <c r="C50" s="73">
        <f>SUM(C39:C49)</f>
        <v>100</v>
      </c>
      <c r="D50" s="72">
        <f>SUM(D39:D49)</f>
        <v>12</v>
      </c>
      <c r="E50" s="73">
        <f>(D50/$B$50)*100</f>
        <v>11.009174311926607</v>
      </c>
      <c r="F50" s="72">
        <f>SUM(F39:F49)</f>
        <v>4</v>
      </c>
      <c r="G50" s="73">
        <f>(F50/$B$50)*100</f>
        <v>3.669724770642202</v>
      </c>
      <c r="H50" s="72">
        <f>SUM(H39:H49)</f>
        <v>5</v>
      </c>
      <c r="I50" s="73">
        <f>(H50/$B$50)*100</f>
        <v>4.5871559633027523</v>
      </c>
      <c r="J50" s="72">
        <f>SUM(J39:J49)</f>
        <v>21</v>
      </c>
      <c r="K50" s="73">
        <f>(J50/$B$50)*100</f>
        <v>19.26605504587156</v>
      </c>
      <c r="L50" s="72">
        <f>SUM(L39:L49)</f>
        <v>58</v>
      </c>
      <c r="M50" s="73">
        <f>(L50/$B$50)*100</f>
        <v>53.211009174311933</v>
      </c>
      <c r="N50" s="72">
        <f>SUM(N39:N49)</f>
        <v>9</v>
      </c>
      <c r="O50" s="73">
        <f>(N50/$B$50)*100</f>
        <v>8.2568807339449553</v>
      </c>
      <c r="P50" s="26"/>
    </row>
    <row r="51" spans="1:16">
      <c r="A51" s="33"/>
      <c r="B51" s="62"/>
      <c r="C51" s="33"/>
      <c r="D51" s="62"/>
      <c r="E51" s="33"/>
      <c r="F51" s="62"/>
      <c r="G51" s="33"/>
      <c r="H51" s="62"/>
      <c r="I51" s="33"/>
      <c r="J51" s="62"/>
      <c r="K51" s="33"/>
      <c r="L51" s="62"/>
      <c r="M51" s="33"/>
      <c r="N51" s="62"/>
      <c r="O51" s="33"/>
      <c r="P51" s="4"/>
    </row>
    <row r="52" spans="1:16">
      <c r="A52" s="33"/>
      <c r="B52" s="62"/>
      <c r="C52" s="33"/>
      <c r="D52" s="62"/>
      <c r="E52" s="33"/>
      <c r="F52" s="62"/>
      <c r="G52" s="33"/>
      <c r="H52" s="62"/>
      <c r="I52" s="33"/>
      <c r="J52" s="62"/>
      <c r="K52" s="33"/>
      <c r="L52" s="62"/>
      <c r="M52" s="33"/>
      <c r="N52" s="62"/>
      <c r="O52" s="33"/>
      <c r="P52" s="4"/>
    </row>
    <row r="53" spans="1:16">
      <c r="A53" s="33"/>
      <c r="B53" s="62"/>
      <c r="C53" s="33"/>
      <c r="D53" s="62"/>
      <c r="E53" s="33"/>
      <c r="F53" s="62"/>
      <c r="G53" s="33"/>
      <c r="H53" s="62"/>
      <c r="I53" s="33"/>
      <c r="J53" s="62"/>
      <c r="K53" s="33"/>
      <c r="L53" s="62"/>
      <c r="M53" s="33"/>
      <c r="N53" s="62"/>
      <c r="O53" s="33"/>
      <c r="P53" s="4"/>
    </row>
    <row r="54" spans="1:16" ht="21.75" customHeight="1">
      <c r="A54" s="732" t="s">
        <v>4463</v>
      </c>
      <c r="B54" s="735"/>
      <c r="C54" s="735"/>
      <c r="D54" s="735"/>
      <c r="E54" s="735"/>
      <c r="F54" s="735"/>
      <c r="G54" s="735"/>
      <c r="H54" s="735"/>
      <c r="I54" s="735"/>
      <c r="J54" s="735"/>
      <c r="K54" s="735"/>
      <c r="L54" s="735"/>
      <c r="M54" s="735"/>
      <c r="N54" s="735"/>
      <c r="O54" s="736"/>
      <c r="P54" s="24"/>
    </row>
    <row r="55" spans="1:16" ht="120.75" customHeight="1">
      <c r="A55" s="246" t="s">
        <v>11</v>
      </c>
      <c r="B55" s="68" t="s">
        <v>249</v>
      </c>
      <c r="C55" s="246" t="s">
        <v>101</v>
      </c>
      <c r="D55" s="249" t="s">
        <v>243</v>
      </c>
      <c r="E55" s="246" t="s">
        <v>101</v>
      </c>
      <c r="F55" s="250" t="s">
        <v>244</v>
      </c>
      <c r="G55" s="246" t="s">
        <v>101</v>
      </c>
      <c r="H55" s="251" t="s">
        <v>245</v>
      </c>
      <c r="I55" s="246" t="s">
        <v>101</v>
      </c>
      <c r="J55" s="252" t="s">
        <v>246</v>
      </c>
      <c r="K55" s="246" t="s">
        <v>101</v>
      </c>
      <c r="L55" s="253" t="s">
        <v>247</v>
      </c>
      <c r="M55" s="246" t="s">
        <v>101</v>
      </c>
      <c r="N55" s="68" t="s">
        <v>248</v>
      </c>
      <c r="O55" s="246" t="s">
        <v>101</v>
      </c>
      <c r="P55" s="24"/>
    </row>
    <row r="56" spans="1:16" ht="15.75">
      <c r="A56" s="285" t="s">
        <v>122</v>
      </c>
      <c r="B56" s="44">
        <f>'CONSOLIDADO-ACUEDUCTOSRURALES1'!D31</f>
        <v>24</v>
      </c>
      <c r="C56" s="48">
        <f>(B56/$B$73)*100</f>
        <v>9.4488188976377945</v>
      </c>
      <c r="D56" s="44">
        <f>COUNTIFS(NORTE!A:A,"Angostura",NORTE!S:S,"SIN RIESGO")</f>
        <v>0</v>
      </c>
      <c r="E56" s="48">
        <f>(D56/$B$56)*100</f>
        <v>0</v>
      </c>
      <c r="F56" s="224">
        <f>COUNTIFS(NORTE!A:A,"Angostura",NORTE!S:S,"BAJO")</f>
        <v>1</v>
      </c>
      <c r="G56" s="48">
        <f>(F56/$B$56)*100</f>
        <v>4.1666666666666661</v>
      </c>
      <c r="H56" s="44">
        <f>COUNTIFS(NORTE!A:A,"Angostura",NORTE!S:S,"MEDIO")</f>
        <v>0</v>
      </c>
      <c r="I56" s="48">
        <f>(H56/$B$56)*100</f>
        <v>0</v>
      </c>
      <c r="J56" s="208">
        <f>COUNTIFS(NORTE!A:A,"Angostura",NORTE!S:S,"ALTO")</f>
        <v>3</v>
      </c>
      <c r="K56" s="48">
        <f>(J56/$B$56)*100</f>
        <v>12.5</v>
      </c>
      <c r="L56" s="208">
        <f>COUNTIFS(NORTE!A:A,"Angostura",NORTE!S:S,"INVIABLE SANITARIAMENTE")</f>
        <v>20</v>
      </c>
      <c r="M56" s="48">
        <f>(L56/$B$56)*100</f>
        <v>83.333333333333343</v>
      </c>
      <c r="N56" s="44">
        <f>B56-(D56+F56+H56+J56+L56)</f>
        <v>0</v>
      </c>
      <c r="O56" s="48">
        <f>(N56/$B$56)*100</f>
        <v>0</v>
      </c>
      <c r="P56" s="24"/>
    </row>
    <row r="57" spans="1:16" ht="15.75">
      <c r="A57" s="285" t="s">
        <v>123</v>
      </c>
      <c r="B57" s="44">
        <f>'CONSOLIDADO-ACUEDUCTOSRURALES1'!D32</f>
        <v>9</v>
      </c>
      <c r="C57" s="48">
        <f>(B57/$B$73)*100</f>
        <v>3.5433070866141732</v>
      </c>
      <c r="D57" s="203">
        <f>COUNTIFS(NORTE!A:A,"Belmira",NORTE!S:S,"SIN RIESGO")</f>
        <v>1</v>
      </c>
      <c r="E57" s="48">
        <f>(D57/$B$57)*100</f>
        <v>11.111111111111111</v>
      </c>
      <c r="F57" s="208">
        <f>COUNTIFS(NORTE!A:A,"Belmira",NORTE!S:S,"BAJO")</f>
        <v>0</v>
      </c>
      <c r="G57" s="48">
        <f>(F57/$B$57)*100</f>
        <v>0</v>
      </c>
      <c r="H57" s="222">
        <f>COUNTIFS(NORTE!A:A,"Belmira",NORTE!S:S,"MEDIO")</f>
        <v>0</v>
      </c>
      <c r="I57" s="48">
        <f>(H57/$B$57)*100</f>
        <v>0</v>
      </c>
      <c r="J57" s="208">
        <f>COUNTIFS(NORTE!A:A,"Belmira",NORTE!S:S,"ALTO")</f>
        <v>1</v>
      </c>
      <c r="K57" s="48">
        <f>(J57/$B$57)*100</f>
        <v>11.111111111111111</v>
      </c>
      <c r="L57" s="208">
        <f>COUNTIFS(NORTE!A:A,"Belmira",NORTE!S:S,"INVIABLE SANITARIAMENTE")</f>
        <v>7</v>
      </c>
      <c r="M57" s="48">
        <f>(L57/$B$57)*100</f>
        <v>77.777777777777786</v>
      </c>
      <c r="N57" s="203">
        <f t="shared" ref="N57:N72" si="6">B57-(D57+F57+H57+J57+L57)</f>
        <v>0</v>
      </c>
      <c r="O57" s="48">
        <f>(N57/$B$57)*100</f>
        <v>0</v>
      </c>
      <c r="P57" s="24"/>
    </row>
    <row r="58" spans="1:16" ht="15.75">
      <c r="A58" s="285" t="s">
        <v>124</v>
      </c>
      <c r="B58" s="44">
        <f>'CONSOLIDADO-ACUEDUCTOSRURALES1'!D33</f>
        <v>12</v>
      </c>
      <c r="C58" s="48">
        <f t="shared" ref="C58:C72" si="7">(B58/$B$73)*100</f>
        <v>4.7244094488188972</v>
      </c>
      <c r="D58" s="203">
        <f>COUNTIFS(NORTE!A:A,"Briceño",NORTE!S:S,"SIN RIESGO")</f>
        <v>0</v>
      </c>
      <c r="E58" s="48">
        <f>(D58/$B$58)*100</f>
        <v>0</v>
      </c>
      <c r="F58" s="208">
        <f>COUNTIFS(NORTE!C:C,"Briceño",NORTE!U:U, "BAJO")</f>
        <v>0</v>
      </c>
      <c r="G58" s="48">
        <f>(F58/$B$58)*100</f>
        <v>0</v>
      </c>
      <c r="H58" s="222">
        <f>COUNTIFS(NORTE!A:A,"Briceño",NORTE!S:S,"MEDIO")</f>
        <v>0</v>
      </c>
      <c r="I58" s="48">
        <f>(H58/$B$58)*100</f>
        <v>0</v>
      </c>
      <c r="J58" s="208">
        <f>COUNTIFS(NORTE!A:A,"Briceño",NORTE!S:S,"ALTO")</f>
        <v>12</v>
      </c>
      <c r="K58" s="48">
        <f>(J58/$B$58)*100</f>
        <v>100</v>
      </c>
      <c r="L58" s="208">
        <f>COUNTIFS(NORTE!A:A,"Briceño",NORTE!S:S,"INVIABLE SANITARIAMENTE")</f>
        <v>0</v>
      </c>
      <c r="M58" s="48">
        <f>(L58/$B$58)*100</f>
        <v>0</v>
      </c>
      <c r="N58" s="203">
        <f t="shared" si="6"/>
        <v>0</v>
      </c>
      <c r="O58" s="48">
        <f>(N58/$B$58)*100</f>
        <v>0</v>
      </c>
      <c r="P58" s="24"/>
    </row>
    <row r="59" spans="1:16" ht="15.75">
      <c r="A59" s="285" t="s">
        <v>125</v>
      </c>
      <c r="B59" s="44">
        <f>'CONSOLIDADO-ACUEDUCTOSRURALES1'!D34</f>
        <v>11</v>
      </c>
      <c r="C59" s="48">
        <f t="shared" si="7"/>
        <v>4.3307086614173231</v>
      </c>
      <c r="D59" s="203">
        <f>COUNTIFS(NORTE!A:A,"Campamento",NORTE!S:S,"SIN RIESGO")</f>
        <v>0</v>
      </c>
      <c r="E59" s="48">
        <f>(D59/$B$59)*100</f>
        <v>0</v>
      </c>
      <c r="F59" s="208">
        <f>COUNTIFS(NORTE!A:A,"Campamento",NORTE!S:S, "BAJO")</f>
        <v>0</v>
      </c>
      <c r="G59" s="48">
        <f>(F59/$B$59)*100</f>
        <v>0</v>
      </c>
      <c r="H59" s="222">
        <f>COUNTIFS(NORTE!A:A,"Campamento",NORTE!S:S,"MEDIO")</f>
        <v>0</v>
      </c>
      <c r="I59" s="48">
        <f>(H59/$B$59)*100</f>
        <v>0</v>
      </c>
      <c r="J59" s="211">
        <f>COUNTIFS(NORTE!A:A,"Campamento",NORTE!S:S,"ALTO")</f>
        <v>0</v>
      </c>
      <c r="K59" s="48">
        <f>(J59/$B$59)*100</f>
        <v>0</v>
      </c>
      <c r="L59" s="211">
        <f>COUNTIFS(NORTE!A:A,"Campamento",NORTE!S:S,"INVIABLE SANITARIAMENTE")</f>
        <v>3</v>
      </c>
      <c r="M59" s="48">
        <f>(L59/$B$59)*100</f>
        <v>27.27272727272727</v>
      </c>
      <c r="N59" s="203">
        <f t="shared" si="6"/>
        <v>8</v>
      </c>
      <c r="O59" s="48">
        <f>(N59/$B$59)*100</f>
        <v>72.727272727272734</v>
      </c>
      <c r="P59" s="24"/>
    </row>
    <row r="60" spans="1:16" ht="15.75">
      <c r="A60" s="285" t="s">
        <v>126</v>
      </c>
      <c r="B60" s="44">
        <f>'CONSOLIDADO-ACUEDUCTOSRURALES1'!D35</f>
        <v>6</v>
      </c>
      <c r="C60" s="48">
        <f t="shared" si="7"/>
        <v>2.3622047244094486</v>
      </c>
      <c r="D60" s="203">
        <f>COUNTIFS(NORTE!A:A,"Carolina del Príncipe",NORTE!S:S,"SIN RIESGO")</f>
        <v>0</v>
      </c>
      <c r="E60" s="48">
        <f>(D60/$B$60)*100</f>
        <v>0</v>
      </c>
      <c r="F60" s="225">
        <f>COUNTIFS(NORTE!A:A,"Carolina del Príncipe",NORTE!S:S, "BAJO")</f>
        <v>0</v>
      </c>
      <c r="G60" s="48">
        <f>(F60/$B$60)*100</f>
        <v>0</v>
      </c>
      <c r="H60" s="222">
        <f>COUNTIFS(NORTE!A:A,"Carolina del Príncipe",NORTE!S:S,"MEDIO")</f>
        <v>0</v>
      </c>
      <c r="I60" s="48">
        <f>(H60/$B$60)*100</f>
        <v>0</v>
      </c>
      <c r="J60" s="211">
        <f>COUNTIFS(NORTE!A:A,"Carolina del Príncipe",NORTE!S:S,"ALTO")</f>
        <v>0</v>
      </c>
      <c r="K60" s="48">
        <f>(J60/$B$60)*100</f>
        <v>0</v>
      </c>
      <c r="L60" s="211">
        <f>COUNTIFS(NORTE!A:A,"Carolina del Príncipe",NORTE!S:S,"INVIABLE SANITARIAMENTE")</f>
        <v>4</v>
      </c>
      <c r="M60" s="48">
        <f>(L60/$B$60)*100</f>
        <v>66.666666666666657</v>
      </c>
      <c r="N60" s="203">
        <f t="shared" si="6"/>
        <v>2</v>
      </c>
      <c r="O60" s="48">
        <f>(N60/$B$60)*100</f>
        <v>33.333333333333329</v>
      </c>
      <c r="P60" s="24"/>
    </row>
    <row r="61" spans="1:16" ht="15.75">
      <c r="A61" s="285" t="s">
        <v>127</v>
      </c>
      <c r="B61" s="44">
        <f>'CONSOLIDADO-ACUEDUCTOSRURALES1'!D36</f>
        <v>5</v>
      </c>
      <c r="C61" s="48">
        <f t="shared" si="7"/>
        <v>1.9685039370078741</v>
      </c>
      <c r="D61" s="203">
        <f>COUNTIFS(NORTE!A:A,"Don Matías",NORTE!S:S, "SIN RIESGO")</f>
        <v>0</v>
      </c>
      <c r="E61" s="48">
        <f>(D61/$B$61)*100</f>
        <v>0</v>
      </c>
      <c r="F61" s="225">
        <f>COUNTIFS(NORTE!A:A,"Don Matías",NORTE!S:S, "BAJO")</f>
        <v>0</v>
      </c>
      <c r="G61" s="48">
        <f>(F61/$B$61)*100</f>
        <v>0</v>
      </c>
      <c r="H61" s="222">
        <f>COUNTIFS(NORTE!A:A,"Don Matías",NORTE!S:S,"MEDIO")</f>
        <v>0</v>
      </c>
      <c r="I61" s="48">
        <f>(H61/$B$61)*100</f>
        <v>0</v>
      </c>
      <c r="J61" s="211">
        <f>COUNTIFS(NORTE!A:A,"Don Matías",NORTE!S:S,"ALTO")</f>
        <v>1</v>
      </c>
      <c r="K61" s="48">
        <f>(J61/$B$61)*100</f>
        <v>20</v>
      </c>
      <c r="L61" s="211">
        <f>COUNTIFS(NORTE!A:A,"Don Matías",NORTE!S:S,"INVIABLE SANITARIAMENTE")</f>
        <v>4</v>
      </c>
      <c r="M61" s="48">
        <f>(L61/$B$61)*100</f>
        <v>80</v>
      </c>
      <c r="N61" s="203">
        <f t="shared" si="6"/>
        <v>0</v>
      </c>
      <c r="O61" s="48">
        <f>(N61/$B$61)*100</f>
        <v>0</v>
      </c>
      <c r="P61" s="24"/>
    </row>
    <row r="62" spans="1:16" ht="15.75">
      <c r="A62" s="285" t="s">
        <v>3763</v>
      </c>
      <c r="B62" s="44">
        <f>'CONSOLIDADO-ACUEDUCTOSRURALES1'!D37</f>
        <v>11</v>
      </c>
      <c r="C62" s="48">
        <f t="shared" si="7"/>
        <v>4.3307086614173231</v>
      </c>
      <c r="D62" s="207">
        <f>COUNTIFS(NORTE!A:A,"Entrerríos",NORTE!S:S, "SIN RIESGO")</f>
        <v>5</v>
      </c>
      <c r="E62" s="48">
        <f>(D62/$B$62)*100</f>
        <v>45.454545454545453</v>
      </c>
      <c r="F62" s="225">
        <f>COUNTIFS(NORTE!A:A,"Entrerríos",NORTE!S:S,"BAJO")</f>
        <v>0</v>
      </c>
      <c r="G62" s="48">
        <f>(F62/$B$62)*100</f>
        <v>0</v>
      </c>
      <c r="H62" s="222">
        <f>COUNTIFS(NORTE!A:A,"Entrerríos",NORTE!S:S,"MEDIO")</f>
        <v>3</v>
      </c>
      <c r="I62" s="48">
        <f>(H62/$B$62)*100</f>
        <v>27.27272727272727</v>
      </c>
      <c r="J62" s="211">
        <f>COUNTIFS(NORTE!A:A,"Entrerríos",NORTE!S:S,"ALTO")</f>
        <v>2</v>
      </c>
      <c r="K62" s="48">
        <f>(J62/$B$62)*100</f>
        <v>18.181818181818183</v>
      </c>
      <c r="L62" s="211">
        <f>COUNTIFS(NORTE!A:A,"Entrerríos",NORTE!S:S,"INVIABLE SANITARIAMENTE")</f>
        <v>1</v>
      </c>
      <c r="M62" s="48">
        <f>(L62/$B$62)*100</f>
        <v>9.0909090909090917</v>
      </c>
      <c r="N62" s="203">
        <f t="shared" si="6"/>
        <v>0</v>
      </c>
      <c r="O62" s="48">
        <f>(N62/$B$62)*100</f>
        <v>0</v>
      </c>
      <c r="P62" s="24"/>
    </row>
    <row r="63" spans="1:16" ht="15.75">
      <c r="A63" s="285" t="s">
        <v>128</v>
      </c>
      <c r="B63" s="44">
        <f>'CONSOLIDADO-ACUEDUCTOSRURALES1'!D38</f>
        <v>23</v>
      </c>
      <c r="C63" s="48">
        <f t="shared" si="7"/>
        <v>9.0551181102362204</v>
      </c>
      <c r="D63" s="207">
        <f>COUNTIFS(NORTE!A:A,"Gómez Plata",NORTE!S:S, "SIN RIESGO")</f>
        <v>0</v>
      </c>
      <c r="E63" s="48">
        <f>(D63/$B$63)*100</f>
        <v>0</v>
      </c>
      <c r="F63" s="225">
        <f>COUNTIFS(NORTE!A:A,"Gómez Plata",NORTE!S:S, "BAJO")</f>
        <v>0</v>
      </c>
      <c r="G63" s="48">
        <f>(F63/$B$63)*100</f>
        <v>0</v>
      </c>
      <c r="H63" s="222">
        <f>COUNTIFS(NORTE!A:A,"Gómez Plata",NORTE!S:S,"MEDIO")</f>
        <v>1</v>
      </c>
      <c r="I63" s="48">
        <f>(H63/$B$63)*100</f>
        <v>4.3478260869565215</v>
      </c>
      <c r="J63" s="211">
        <f>COUNTIFS(NORTE!A:A,"Gómez Plata",NORTE!S:S,"ALTO")</f>
        <v>3</v>
      </c>
      <c r="K63" s="48">
        <f>(J63/$B$63)*100</f>
        <v>13.043478260869565</v>
      </c>
      <c r="L63" s="211">
        <f>COUNTIFS(NORTE!A:A,"Gómez Plata",NORTE!S:S,"INVIABLE SANITARIAMENTE")</f>
        <v>14</v>
      </c>
      <c r="M63" s="48">
        <f>(L63/$B$63)*100</f>
        <v>60.869565217391312</v>
      </c>
      <c r="N63" s="203">
        <f t="shared" si="6"/>
        <v>5</v>
      </c>
      <c r="O63" s="48">
        <f>(N63/$B$63)*100</f>
        <v>21.739130434782609</v>
      </c>
      <c r="P63" s="24"/>
    </row>
    <row r="64" spans="1:16" ht="15.75">
      <c r="A64" s="285" t="s">
        <v>129</v>
      </c>
      <c r="B64" s="44">
        <f>'CONSOLIDADO-ACUEDUCTOSRURALES1'!D39</f>
        <v>14</v>
      </c>
      <c r="C64" s="48">
        <f t="shared" si="7"/>
        <v>5.5118110236220472</v>
      </c>
      <c r="D64" s="207">
        <f>COUNTIFS(NORTE!A:A,"Guadalupe",NORTE!S:S, "SIN RIESGO")</f>
        <v>4</v>
      </c>
      <c r="E64" s="48">
        <f>(D64/$B$64)*100</f>
        <v>28.571428571428569</v>
      </c>
      <c r="F64" s="225">
        <f>COUNTIFS(NORTE!A:A,"Guadalupe",NORTE!S:S, "BAJO")</f>
        <v>0</v>
      </c>
      <c r="G64" s="48">
        <f>(F64/$B$64)*100</f>
        <v>0</v>
      </c>
      <c r="H64" s="222">
        <f>COUNTIFS(NORTE!A:A,"Guadalupe",NORTE!S:S,"MEDIO")</f>
        <v>0</v>
      </c>
      <c r="I64" s="48">
        <f>(H64/$B$64)*100</f>
        <v>0</v>
      </c>
      <c r="J64" s="211">
        <f>COUNTIFS(NORTE!A:A,"Guadalupe",NORTE!S:S,"ALTO")</f>
        <v>0</v>
      </c>
      <c r="K64" s="48">
        <f>(J64/$B$64)*100</f>
        <v>0</v>
      </c>
      <c r="L64" s="211">
        <f>COUNTIFS(NORTE!A:A,"Guadalupe",NORTE!S:S,"INVIABLE SANITARIAMENTE")</f>
        <v>9</v>
      </c>
      <c r="M64" s="48">
        <f>(L64/$B$64)*100</f>
        <v>64.285714285714292</v>
      </c>
      <c r="N64" s="203">
        <f t="shared" si="6"/>
        <v>1</v>
      </c>
      <c r="O64" s="48">
        <f>(N64/$B$64)*100</f>
        <v>7.1428571428571423</v>
      </c>
      <c r="P64" s="24"/>
    </row>
    <row r="65" spans="1:16" ht="15.75">
      <c r="A65" s="285" t="s">
        <v>130</v>
      </c>
      <c r="B65" s="44">
        <f>'CONSOLIDADO-ACUEDUCTOSRURALES1'!D40</f>
        <v>37</v>
      </c>
      <c r="C65" s="48">
        <f t="shared" si="7"/>
        <v>14.566929133858267</v>
      </c>
      <c r="D65" s="207">
        <f>COUNTIFS(NORTE!A:A,"Ituango",NORTE!S:S, "SIN RIESGO")</f>
        <v>0</v>
      </c>
      <c r="E65" s="48">
        <f>(D65/$B$65)*100</f>
        <v>0</v>
      </c>
      <c r="F65" s="225">
        <f>COUNTIFS(NORTE!A:A,"Ituango",NORTE!S:S, "BAJO")</f>
        <v>0</v>
      </c>
      <c r="G65" s="48">
        <f>(F65/$B$65)*100</f>
        <v>0</v>
      </c>
      <c r="H65" s="222">
        <f>COUNTIFS(NORTE!A:A,"Ituango",NORTE!S:S,"MEDIO")</f>
        <v>0</v>
      </c>
      <c r="I65" s="48">
        <f>(H65/$B$65)*100</f>
        <v>0</v>
      </c>
      <c r="J65" s="211">
        <f>COUNTIFS(NORTE!A:A,"Ituango",NORTE!S:S,"ALTO")</f>
        <v>0</v>
      </c>
      <c r="K65" s="48">
        <f>(J65/$B$65)*100</f>
        <v>0</v>
      </c>
      <c r="L65" s="211">
        <f>COUNTIFS(NORTE!A:A,"Ituango",NORTE!S:S,"INVIABLE SANITARIAMENTE")</f>
        <v>20</v>
      </c>
      <c r="M65" s="48">
        <f>(L65/$B$65)*100</f>
        <v>54.054054054054056</v>
      </c>
      <c r="N65" s="203">
        <f t="shared" si="6"/>
        <v>17</v>
      </c>
      <c r="O65" s="48">
        <f>(N65/$B$65)*100</f>
        <v>45.945945945945951</v>
      </c>
      <c r="P65" s="24"/>
    </row>
    <row r="66" spans="1:16" ht="15.75">
      <c r="A66" s="285" t="s">
        <v>131</v>
      </c>
      <c r="B66" s="44">
        <f>'CONSOLIDADO-ACUEDUCTOSRURALES1'!D41</f>
        <v>20</v>
      </c>
      <c r="C66" s="48">
        <f t="shared" si="7"/>
        <v>7.8740157480314963</v>
      </c>
      <c r="D66" s="207">
        <f>COUNTIFS(NORTE!A:A,"San Andrés de Cuerquia",NORTE!S:S, "SIN RIESGO")</f>
        <v>0</v>
      </c>
      <c r="E66" s="48">
        <f>(D66/$B$66)*100</f>
        <v>0</v>
      </c>
      <c r="F66" s="225">
        <f>COUNTIFS(NORTE!A:A,"San Andrés de Cuerquia",NORTE!S:S, "BAJO")</f>
        <v>0</v>
      </c>
      <c r="G66" s="48">
        <f>(F66/$B$66)*100</f>
        <v>0</v>
      </c>
      <c r="H66" s="222">
        <f>COUNTIFS(NORTE!A:A,"San Andrés de Cuerquia",NORTE!S:S,"MEDIO")</f>
        <v>0</v>
      </c>
      <c r="I66" s="48">
        <f>(H66/$B$66)*100</f>
        <v>0</v>
      </c>
      <c r="J66" s="211">
        <f>COUNTIFS(NORTE!A:A,"San Andrés de Cuerquia",NORTE!S:S,"ALTO")</f>
        <v>13</v>
      </c>
      <c r="K66" s="48">
        <f>(J66/$B$66)*100</f>
        <v>65</v>
      </c>
      <c r="L66" s="211">
        <f>COUNTIFS(NORTE!A:A,"San Andrés de Cuerquia",NORTE!S:S,"INVIABLE SANITARIAMENTE")</f>
        <v>4</v>
      </c>
      <c r="M66" s="48">
        <f>(L66/$B$66)*100</f>
        <v>20</v>
      </c>
      <c r="N66" s="203">
        <f t="shared" si="6"/>
        <v>3</v>
      </c>
      <c r="O66" s="48">
        <f>(N66/$B$66)*100</f>
        <v>15</v>
      </c>
      <c r="P66" s="24"/>
    </row>
    <row r="67" spans="1:16" ht="15.75">
      <c r="A67" s="285" t="s">
        <v>132</v>
      </c>
      <c r="B67" s="44">
        <f>'CONSOLIDADO-ACUEDUCTOSRURALES1'!D42</f>
        <v>4</v>
      </c>
      <c r="C67" s="48">
        <f t="shared" si="7"/>
        <v>1.5748031496062991</v>
      </c>
      <c r="D67" s="207">
        <f>COUNTIFS(NORTE!A:A,"San Jose De La Montaña",NORTE!S:S, "SIN RIESGO")</f>
        <v>0</v>
      </c>
      <c r="E67" s="48">
        <f>(D67/$B$67)*100</f>
        <v>0</v>
      </c>
      <c r="F67" s="225">
        <f>COUNTIFS(NORTE!A:A,"San José de la Montaña",NORTE!S:S, "BAJO")</f>
        <v>0</v>
      </c>
      <c r="G67" s="48">
        <f>(F67/$B$67)*100</f>
        <v>0</v>
      </c>
      <c r="H67" s="222">
        <f>COUNTIFS(NORTE!A:A,"San José de la Montaña",NORTE!S:S,"MEDIO")</f>
        <v>2</v>
      </c>
      <c r="I67" s="48">
        <f>(H67/$B$67)*100</f>
        <v>50</v>
      </c>
      <c r="J67" s="211">
        <f>COUNTIFS(NORTE!A:A,"San José de la Montaña",NORTE!S:S,"ALTO")</f>
        <v>2</v>
      </c>
      <c r="K67" s="48">
        <f>(J67/$B$67)*100</f>
        <v>50</v>
      </c>
      <c r="L67" s="211">
        <f>COUNTIFS(NORTE!A:A,"San José de la Montaña",NORTE!S:S,"INVIABLE SANITARIAMENTE")</f>
        <v>0</v>
      </c>
      <c r="M67" s="48">
        <f>(L67/$B$67)*100</f>
        <v>0</v>
      </c>
      <c r="N67" s="203">
        <f t="shared" si="6"/>
        <v>0</v>
      </c>
      <c r="O67" s="48">
        <f>(N67/$B$67)*100</f>
        <v>0</v>
      </c>
      <c r="P67" s="24"/>
    </row>
    <row r="68" spans="1:16" ht="15.75">
      <c r="A68" s="285" t="s">
        <v>133</v>
      </c>
      <c r="B68" s="44">
        <f>'CONSOLIDADO-ACUEDUCTOSRURALES1'!D43</f>
        <v>16</v>
      </c>
      <c r="C68" s="48">
        <f t="shared" si="7"/>
        <v>6.2992125984251963</v>
      </c>
      <c r="D68" s="207">
        <f>COUNTIFS(NORTE!A:A,"San Pedro De Los Milagros",NORTE!S:S, "SIN RIESGO")</f>
        <v>2</v>
      </c>
      <c r="E68" s="48">
        <f>(D68/$B$68)*100</f>
        <v>12.5</v>
      </c>
      <c r="F68" s="225">
        <f>COUNTIFS(NORTE!A:A,"San Pedro de los Milagros",NORTE!S:S, "BAJO")</f>
        <v>2</v>
      </c>
      <c r="G68" s="48">
        <f>(F68/$B$68)*100</f>
        <v>12.5</v>
      </c>
      <c r="H68" s="222">
        <f>COUNTIFS(NORTE!A:A,"San Pedro de los Milagros",NORTE!S:S,"MEDIO")</f>
        <v>4</v>
      </c>
      <c r="I68" s="48">
        <f>(H68/$B$68)*100</f>
        <v>25</v>
      </c>
      <c r="J68" s="211">
        <f>COUNTIFS(NORTE!A:A,"San Pedro de los Milagros",NORTE!S:S,"ALTO")</f>
        <v>6</v>
      </c>
      <c r="K68" s="48">
        <f>(J68/$B$68)*100</f>
        <v>37.5</v>
      </c>
      <c r="L68" s="211">
        <f>COUNTIFS(NORTE!A:A,"San Pedro de los Milagros",NORTE!S:S,"INVIABLE SANITARIAMENTE")</f>
        <v>2</v>
      </c>
      <c r="M68" s="48">
        <f>(L68/$B$68)*100</f>
        <v>12.5</v>
      </c>
      <c r="N68" s="203">
        <f t="shared" si="6"/>
        <v>0</v>
      </c>
      <c r="O68" s="48">
        <f>(N68/$B$68)*100</f>
        <v>0</v>
      </c>
      <c r="P68" s="24"/>
    </row>
    <row r="69" spans="1:16" ht="15.75">
      <c r="A69" s="285" t="s">
        <v>134</v>
      </c>
      <c r="B69" s="44">
        <f>'CONSOLIDADO-ACUEDUCTOSRURALES1'!D44</f>
        <v>30</v>
      </c>
      <c r="C69" s="48">
        <f t="shared" si="7"/>
        <v>11.811023622047244</v>
      </c>
      <c r="D69" s="207">
        <f>COUNTIFS(NORTE!A:A,"Santa Rosa De Osos",NORTE!S:S, "SIN RIESGO")</f>
        <v>6</v>
      </c>
      <c r="E69" s="48">
        <f>(D69/$B$69)*100</f>
        <v>20</v>
      </c>
      <c r="F69" s="225">
        <f>COUNTIFS(NORTE!A:A,"Santa Rosa de Osos",NORTE!S:S, "BAJO")</f>
        <v>0</v>
      </c>
      <c r="G69" s="48">
        <f>(F69/$B$69)*100</f>
        <v>0</v>
      </c>
      <c r="H69" s="222">
        <f>COUNTIFS(NORTE!A:A,"Santa Rosa de Osos",NORTE!S:S,"MEDIO")</f>
        <v>21</v>
      </c>
      <c r="I69" s="48">
        <f>(H69/$B$69)*100</f>
        <v>70</v>
      </c>
      <c r="J69" s="211">
        <f>COUNTIFS(NORTE!A:A,"Santa Rosa de Osos",NORTE!S:S,"ALTO")</f>
        <v>2</v>
      </c>
      <c r="K69" s="48">
        <f>(J69/$B$69)*100</f>
        <v>6.666666666666667</v>
      </c>
      <c r="L69" s="211">
        <f>COUNTIFS(NORTE!A:A,"Santa Rosa de Osos",NORTE!S:S,"INVIABLE SANITARIAMENTE")</f>
        <v>1</v>
      </c>
      <c r="M69" s="48">
        <f>(L69/$B$69)*100</f>
        <v>3.3333333333333335</v>
      </c>
      <c r="N69" s="203">
        <f t="shared" si="6"/>
        <v>0</v>
      </c>
      <c r="O69" s="48">
        <f>(N69/$B$69)*100</f>
        <v>0</v>
      </c>
      <c r="P69" s="24"/>
    </row>
    <row r="70" spans="1:16" ht="15.75">
      <c r="A70" s="285" t="s">
        <v>135</v>
      </c>
      <c r="B70" s="44">
        <f>'CONSOLIDADO-ACUEDUCTOSRURALES1'!D45</f>
        <v>12</v>
      </c>
      <c r="C70" s="48">
        <f t="shared" si="7"/>
        <v>4.7244094488188972</v>
      </c>
      <c r="D70" s="207">
        <f>COUNTIFS(NORTE!A:A,"Toledo",NORTE!S:S, "SIN RIESGO")</f>
        <v>1</v>
      </c>
      <c r="E70" s="48">
        <f>(D70/$B$70)*100</f>
        <v>8.3333333333333321</v>
      </c>
      <c r="F70" s="225">
        <f>COUNTIFS(NORTE!A:A,"Toledo",NORTE!S:S, "BAJO")</f>
        <v>0</v>
      </c>
      <c r="G70" s="48">
        <f>(F70/$B$70)*100</f>
        <v>0</v>
      </c>
      <c r="H70" s="222">
        <f>COUNTIFS(NORTE!A:A,"Toledo",NORTE!S:S,"MEDIO")</f>
        <v>0</v>
      </c>
      <c r="I70" s="48">
        <f>(H70/$B$70)*100</f>
        <v>0</v>
      </c>
      <c r="J70" s="211">
        <f>COUNTIFS(NORTE!A:A,"Toledo",NORTE!S:S,"ALTO")</f>
        <v>0</v>
      </c>
      <c r="K70" s="48">
        <f>(J70/$B$70)*100</f>
        <v>0</v>
      </c>
      <c r="L70" s="211">
        <f>COUNTIFS(NORTE!A:A,"Toledo",NORTE!S:S,"INVIABLE SANITARIAMENTE")</f>
        <v>9</v>
      </c>
      <c r="M70" s="48">
        <f>(L70/$B$70)*100</f>
        <v>75</v>
      </c>
      <c r="N70" s="203">
        <f t="shared" si="6"/>
        <v>2</v>
      </c>
      <c r="O70" s="48">
        <f>(N70/$B$70)*100</f>
        <v>16.666666666666664</v>
      </c>
      <c r="P70" s="24"/>
    </row>
    <row r="71" spans="1:16" ht="15.75">
      <c r="A71" s="285" t="s">
        <v>136</v>
      </c>
      <c r="B71" s="44">
        <f>'CONSOLIDADO-ACUEDUCTOSRURALES1'!D46</f>
        <v>8</v>
      </c>
      <c r="C71" s="48">
        <f t="shared" si="7"/>
        <v>3.1496062992125982</v>
      </c>
      <c r="D71" s="207">
        <f>COUNTIFS(NORTE!A:A,"Valdivia",NORTE!S:S, "SIN RIESGO")</f>
        <v>0</v>
      </c>
      <c r="E71" s="48">
        <f>(D71/$B$71)*100</f>
        <v>0</v>
      </c>
      <c r="F71" s="225">
        <f>COUNTIFS(NORTE!A:A,"Valdivia",NORTE!S:S, "BAJO")</f>
        <v>0</v>
      </c>
      <c r="G71" s="48">
        <f>(F71/$B$71)*100</f>
        <v>0</v>
      </c>
      <c r="H71" s="222">
        <f>COUNTIFS(NORTE!A:A,"Valdivia",NORTE!S:S,"MEDIO")</f>
        <v>0</v>
      </c>
      <c r="I71" s="48">
        <f>(H71/$B$71)*100</f>
        <v>0</v>
      </c>
      <c r="J71" s="211">
        <f>COUNTIFS(NORTE!A:A,"Valdivia",NORTE!S:S,"ALTO")</f>
        <v>8</v>
      </c>
      <c r="K71" s="48">
        <f>(J71/$B$71)*100</f>
        <v>100</v>
      </c>
      <c r="L71" s="211">
        <f>COUNTIFS(NORTE!A:A,"Valdivia",NORTE!S:S,"INVIABLE SANITARIAMENTE")</f>
        <v>0</v>
      </c>
      <c r="M71" s="48">
        <f>(L71/$B$71)*100</f>
        <v>0</v>
      </c>
      <c r="N71" s="203">
        <f t="shared" si="6"/>
        <v>0</v>
      </c>
      <c r="O71" s="48">
        <f>(N71/$B$71)*100</f>
        <v>0</v>
      </c>
      <c r="P71" s="24"/>
    </row>
    <row r="72" spans="1:16" ht="20.25" customHeight="1">
      <c r="A72" s="285" t="s">
        <v>137</v>
      </c>
      <c r="B72" s="44">
        <f>'CONSOLIDADO-ACUEDUCTOSRURALES1'!D47</f>
        <v>12</v>
      </c>
      <c r="C72" s="48">
        <f t="shared" si="7"/>
        <v>4.7244094488188972</v>
      </c>
      <c r="D72" s="207">
        <f>COUNTIFS(NORTE!A:A,"Yarumal",NORTE!S:S, "SIN RIESGO")</f>
        <v>0</v>
      </c>
      <c r="E72" s="48">
        <f>(D72/$B$72)*100</f>
        <v>0</v>
      </c>
      <c r="F72" s="225">
        <f>COUNTIFS(NORTE!A:A,"Yarumal",NORTE!S:S, "BAJO")</f>
        <v>1</v>
      </c>
      <c r="G72" s="48">
        <f>(F72/$B$72)*100</f>
        <v>8.3333333333333321</v>
      </c>
      <c r="H72" s="211">
        <f>COUNTIFS(NORTE!A:A,"Yarumal",NORTE!S:S,"MEDIO")</f>
        <v>0</v>
      </c>
      <c r="I72" s="48">
        <f>(H72/$B$72)*100</f>
        <v>0</v>
      </c>
      <c r="J72" s="211">
        <f>COUNTIFS(NORTE!A:A,"Yarumal",NORTE!S:S,"ALTO")</f>
        <v>0</v>
      </c>
      <c r="K72" s="48">
        <f>(J72/$B$72)*100</f>
        <v>0</v>
      </c>
      <c r="L72" s="211">
        <f>COUNTIFS(NORTE!A:A,"Yarumal",NORTE!S:S,"INVIABLE SANITARIAMENTE")</f>
        <v>11</v>
      </c>
      <c r="M72" s="48">
        <f>(L72/$B$72)*100</f>
        <v>91.666666666666657</v>
      </c>
      <c r="N72" s="203">
        <f t="shared" si="6"/>
        <v>0</v>
      </c>
      <c r="O72" s="48">
        <f>(N72/$B$72)*100</f>
        <v>0</v>
      </c>
      <c r="P72" s="24"/>
    </row>
    <row r="73" spans="1:16" ht="28.5" customHeight="1">
      <c r="A73" s="293" t="s">
        <v>220</v>
      </c>
      <c r="B73" s="72">
        <f>SUM(B56:B72)</f>
        <v>254</v>
      </c>
      <c r="C73" s="73">
        <f>SUM(C56:C72)</f>
        <v>100</v>
      </c>
      <c r="D73" s="72">
        <f>SUM(D56:D72)</f>
        <v>19</v>
      </c>
      <c r="E73" s="73">
        <f>(D73/$B$73)*100</f>
        <v>7.4803149606299222</v>
      </c>
      <c r="F73" s="72">
        <f>SUM(F56:F72)</f>
        <v>4</v>
      </c>
      <c r="G73" s="73">
        <f>(F73/$B$73)*100</f>
        <v>1.5748031496062991</v>
      </c>
      <c r="H73" s="72">
        <f>SUM(H56:H72)</f>
        <v>31</v>
      </c>
      <c r="I73" s="73">
        <f>(H73/$B$73)*100</f>
        <v>12.204724409448819</v>
      </c>
      <c r="J73" s="72">
        <f>SUM(J56:J72)</f>
        <v>53</v>
      </c>
      <c r="K73" s="73">
        <f>(J73/$B$73)*100</f>
        <v>20.866141732283463</v>
      </c>
      <c r="L73" s="72">
        <f>SUM(L56:L72)</f>
        <v>109</v>
      </c>
      <c r="M73" s="73">
        <f>(L73/$B$73)*100</f>
        <v>42.913385826771652</v>
      </c>
      <c r="N73" s="72">
        <f>SUM(N56:N72)</f>
        <v>38</v>
      </c>
      <c r="O73" s="73">
        <f>(N73/$B$73)*100</f>
        <v>14.960629921259844</v>
      </c>
      <c r="P73" s="24"/>
    </row>
    <row r="74" spans="1:16">
      <c r="A74" s="33"/>
      <c r="B74" s="62"/>
      <c r="C74" s="33"/>
      <c r="D74" s="62"/>
      <c r="E74" s="33"/>
      <c r="F74" s="62"/>
      <c r="G74" s="33"/>
      <c r="H74" s="62"/>
      <c r="I74" s="33"/>
      <c r="J74" s="62"/>
      <c r="K74" s="33"/>
      <c r="L74" s="26"/>
      <c r="M74" s="33"/>
      <c r="N74" s="62"/>
      <c r="O74" s="33"/>
      <c r="P74" s="4"/>
    </row>
    <row r="75" spans="1:16">
      <c r="A75" s="33"/>
      <c r="B75" s="62"/>
      <c r="C75" s="33"/>
      <c r="D75" s="62"/>
      <c r="E75" s="33"/>
      <c r="F75" s="62"/>
      <c r="G75" s="33"/>
      <c r="H75" s="62"/>
      <c r="I75" s="33"/>
      <c r="J75" s="62"/>
      <c r="K75" s="33"/>
      <c r="L75" s="62"/>
      <c r="M75" s="33"/>
      <c r="N75" s="62"/>
      <c r="O75" s="33"/>
      <c r="P75" s="4"/>
    </row>
    <row r="76" spans="1:16">
      <c r="A76" s="33"/>
      <c r="B76" s="62"/>
      <c r="C76" s="33"/>
      <c r="D76" s="62"/>
      <c r="E76" s="33"/>
      <c r="F76" s="62"/>
      <c r="G76" s="33"/>
      <c r="H76" s="62"/>
      <c r="I76" s="33"/>
      <c r="J76" s="62"/>
      <c r="K76" s="33"/>
      <c r="L76" s="62"/>
      <c r="M76" s="33"/>
      <c r="N76" s="62"/>
      <c r="O76" s="33"/>
      <c r="P76" s="4"/>
    </row>
    <row r="77" spans="1:16" ht="24.75" customHeight="1">
      <c r="A77" s="732" t="s">
        <v>4464</v>
      </c>
      <c r="B77" s="735"/>
      <c r="C77" s="735"/>
      <c r="D77" s="735"/>
      <c r="E77" s="735"/>
      <c r="F77" s="735"/>
      <c r="G77" s="735"/>
      <c r="H77" s="735"/>
      <c r="I77" s="735"/>
      <c r="J77" s="735"/>
      <c r="K77" s="735"/>
      <c r="L77" s="735"/>
      <c r="M77" s="735"/>
      <c r="N77" s="735"/>
      <c r="O77" s="736"/>
      <c r="P77" s="24"/>
    </row>
    <row r="78" spans="1:16" ht="130.5" customHeight="1">
      <c r="A78" s="246" t="s">
        <v>11</v>
      </c>
      <c r="B78" s="68" t="s">
        <v>249</v>
      </c>
      <c r="C78" s="246" t="s">
        <v>101</v>
      </c>
      <c r="D78" s="249" t="s">
        <v>243</v>
      </c>
      <c r="E78" s="246" t="s">
        <v>101</v>
      </c>
      <c r="F78" s="250" t="s">
        <v>244</v>
      </c>
      <c r="G78" s="246" t="s">
        <v>101</v>
      </c>
      <c r="H78" s="251" t="s">
        <v>245</v>
      </c>
      <c r="I78" s="246" t="s">
        <v>101</v>
      </c>
      <c r="J78" s="252" t="s">
        <v>246</v>
      </c>
      <c r="K78" s="246" t="s">
        <v>101</v>
      </c>
      <c r="L78" s="253" t="s">
        <v>247</v>
      </c>
      <c r="M78" s="246" t="s">
        <v>101</v>
      </c>
      <c r="N78" s="68" t="s">
        <v>248</v>
      </c>
      <c r="O78" s="246" t="s">
        <v>101</v>
      </c>
      <c r="P78" s="24"/>
    </row>
    <row r="79" spans="1:16" ht="15.75">
      <c r="A79" s="285" t="s">
        <v>139</v>
      </c>
      <c r="B79" s="29">
        <f>'CONSOLIDADO-ACUEDUCTOSRURALES1'!D49</f>
        <v>7</v>
      </c>
      <c r="C79" s="48">
        <f t="shared" ref="C79:C97" si="8">(B79/$B$98)*100</f>
        <v>1.4198782961460445</v>
      </c>
      <c r="D79" s="227">
        <f>COUNTIFS(OCCIDENTE!A:A,"Abriaquí",OCCIDENTE!S:S,"SIN RIESGO")</f>
        <v>0</v>
      </c>
      <c r="E79" s="48">
        <f>(D79/$B$79)*100</f>
        <v>0</v>
      </c>
      <c r="F79" s="29">
        <f>+COUNTIFS(OCCIDENTE!S11:S503,"Abriaquí",OCCIDENTE!S11:S503,"BAJO")</f>
        <v>0</v>
      </c>
      <c r="G79" s="48">
        <f>(F79/$B$79)*100</f>
        <v>0</v>
      </c>
      <c r="H79" s="29">
        <f>+COUNTIFS(OCCIDENTE!S11:S503,"Abriaquí",OCCIDENTE!S11:S503,"MEDIO")</f>
        <v>0</v>
      </c>
      <c r="I79" s="48">
        <f>(H79/$B$79)*100</f>
        <v>0</v>
      </c>
      <c r="J79" s="227">
        <f>COUNTIFS(OCCIDENTE!A:A,"Abriaquí",OCCIDENTE!S:S,"ALTO")</f>
        <v>0</v>
      </c>
      <c r="K79" s="48">
        <f>(J79/$B$79)*100</f>
        <v>0</v>
      </c>
      <c r="L79" s="227">
        <f>COUNTIFS(OCCIDENTE!A:A,"Abriaquí",OCCIDENTE!S:S,"INVIABLE SANITARIAMENTE")</f>
        <v>7</v>
      </c>
      <c r="M79" s="48">
        <f>(L79/$B$79)*100</f>
        <v>100</v>
      </c>
      <c r="N79" s="29">
        <f t="shared" ref="N79:N97" si="9">B79-(D79+F79+H79+J79+L79)</f>
        <v>0</v>
      </c>
      <c r="O79" s="48">
        <f>(N79/$B$79)*100</f>
        <v>0</v>
      </c>
      <c r="P79" s="24"/>
    </row>
    <row r="80" spans="1:16" ht="15.75">
      <c r="A80" s="285" t="s">
        <v>140</v>
      </c>
      <c r="B80" s="29">
        <f>'CONSOLIDADO-ACUEDUCTOSRURALES1'!D50</f>
        <v>19</v>
      </c>
      <c r="C80" s="48">
        <f t="shared" si="8"/>
        <v>3.8539553752535496</v>
      </c>
      <c r="D80" s="29">
        <f>COUNTIFS(OCCIDENTE!A:A,"Anzá",OCCIDENTE!S:S,"SIN RIESGO")</f>
        <v>1</v>
      </c>
      <c r="E80" s="48">
        <f>(D80/$B$80)*100</f>
        <v>5.2631578947368416</v>
      </c>
      <c r="F80" s="29">
        <f>COUNTIFS(OCCIDENTE!A:A,"Anzá",OCCIDENTE!S:S,"BAJO")</f>
        <v>0</v>
      </c>
      <c r="G80" s="48">
        <f>(F80/$B$80)*100</f>
        <v>0</v>
      </c>
      <c r="H80" s="29">
        <f>COUNTIFS(OCCIDENTE!A:A,"Anzá",OCCIDENTE!S:S,"MEDIO")</f>
        <v>0</v>
      </c>
      <c r="I80" s="48">
        <f>(H80/$B$80)*100</f>
        <v>0</v>
      </c>
      <c r="J80" s="29">
        <f>COUNTIFS(OCCIDENTE!A:A,"Anzá",OCCIDENTE!S:S,"ALTO")</f>
        <v>0</v>
      </c>
      <c r="K80" s="48">
        <f>(J80/$B$80)*100</f>
        <v>0</v>
      </c>
      <c r="L80" s="29">
        <f>COUNTIFS(OCCIDENTE!A:A,"Anzá",OCCIDENTE!S:S,"INVIABLE SANITARIAMENTE")</f>
        <v>15</v>
      </c>
      <c r="M80" s="48">
        <f>(L80/$B$80)*100</f>
        <v>78.94736842105263</v>
      </c>
      <c r="N80" s="205">
        <f t="shared" si="9"/>
        <v>3</v>
      </c>
      <c r="O80" s="48">
        <f>(N80/$B$80)*100</f>
        <v>15.789473684210526</v>
      </c>
      <c r="P80" s="24"/>
    </row>
    <row r="81" spans="1:16" ht="15.75">
      <c r="A81" s="285" t="s">
        <v>85</v>
      </c>
      <c r="B81" s="210">
        <f>'CONSOLIDADO-ACUEDUCTOSRURALES1'!D51</f>
        <v>4</v>
      </c>
      <c r="C81" s="48">
        <f t="shared" si="8"/>
        <v>0.81135902636916835</v>
      </c>
      <c r="D81" s="29">
        <f>COUNTIFS(OCCIDENTE!A:A,"Armenia",OCCIDENTE!S:S,"SIN RIESGO")</f>
        <v>0</v>
      </c>
      <c r="E81" s="48">
        <f>(D81/$B$81)*100</f>
        <v>0</v>
      </c>
      <c r="F81" s="29">
        <f>COUNTIFS(OCCIDENTE!A:A,"Armenia",OCCIDENTE!S:S,"BAJO")</f>
        <v>0</v>
      </c>
      <c r="G81" s="48">
        <f>(F81/$B$81)*100</f>
        <v>0</v>
      </c>
      <c r="H81" s="29">
        <f>COUNTIFS(OCCIDENTE!A:A,"Armenia",OCCIDENTE!S:S,"MEDIO")</f>
        <v>0</v>
      </c>
      <c r="I81" s="48">
        <f>(H81/$B$81)*100</f>
        <v>0</v>
      </c>
      <c r="J81" s="29">
        <f>COUNTIFS(OCCIDENTE!A:A,"Armenia",OCCIDENTE!S:S,"ALTO")</f>
        <v>0</v>
      </c>
      <c r="K81" s="48">
        <f>(J81/$B$81)*100</f>
        <v>0</v>
      </c>
      <c r="L81" s="29">
        <f>COUNTIFS(OCCIDENTE!A:A,"Armenia",OCCIDENTE!S:S,"INVIABLE SANITARIAMENTE")</f>
        <v>4</v>
      </c>
      <c r="M81" s="48">
        <f>(L81/$B$81)*100</f>
        <v>100</v>
      </c>
      <c r="N81" s="205">
        <f t="shared" si="9"/>
        <v>0</v>
      </c>
      <c r="O81" s="48">
        <f>(N81/$B$81)*100</f>
        <v>0</v>
      </c>
      <c r="P81" s="24"/>
    </row>
    <row r="82" spans="1:16" ht="15.75">
      <c r="A82" s="285" t="s">
        <v>141</v>
      </c>
      <c r="B82" s="210">
        <f>'CONSOLIDADO-ACUEDUCTOSRURALES1'!D52</f>
        <v>39</v>
      </c>
      <c r="C82" s="48">
        <f t="shared" si="8"/>
        <v>7.9107505070993911</v>
      </c>
      <c r="D82" s="29">
        <f>COUNTIFS(OCCIDENTE!A:A,"Buriticá",OCCIDENTE!S:S,"SIN RIESGO")</f>
        <v>0</v>
      </c>
      <c r="E82" s="48">
        <f>(D82/$B$82)*100</f>
        <v>0</v>
      </c>
      <c r="F82" s="29">
        <f>COUNTIFS(OCCIDENTE!A:A,"Buriticá",OCCIDENTE!S:S,"BAJO")</f>
        <v>0</v>
      </c>
      <c r="G82" s="48">
        <f>(F82/$B$82)*100</f>
        <v>0</v>
      </c>
      <c r="H82" s="29">
        <f>COUNTIFS(OCCIDENTE!A:A,"Buriticá",OCCIDENTE!S:S,"MEDIO")</f>
        <v>0</v>
      </c>
      <c r="I82" s="48">
        <f>(H82/$B$82)*100</f>
        <v>0</v>
      </c>
      <c r="J82" s="29">
        <f>COUNTIFS(OCCIDENTE!A:A,"Buriticá",OCCIDENTE!S:S,"ALTO")</f>
        <v>3</v>
      </c>
      <c r="K82" s="48">
        <f>(J82/$B$82)*100</f>
        <v>7.6923076923076925</v>
      </c>
      <c r="L82" s="29">
        <f>COUNTIFS(OCCIDENTE!A:A,"Buriticá",OCCIDENTE!S:S,"INVIABLE SANITARIAMENTE")</f>
        <v>31</v>
      </c>
      <c r="M82" s="48">
        <f>(L82/$B$82)*100</f>
        <v>79.487179487179489</v>
      </c>
      <c r="N82" s="205">
        <f t="shared" si="9"/>
        <v>5</v>
      </c>
      <c r="O82" s="48">
        <f>(N82/$B$82)*100</f>
        <v>12.820512820512819</v>
      </c>
      <c r="P82" s="24"/>
    </row>
    <row r="83" spans="1:16" ht="15.75">
      <c r="A83" s="285" t="s">
        <v>146</v>
      </c>
      <c r="B83" s="210">
        <f>'CONSOLIDADO-ACUEDUCTOSRURALES1'!D53</f>
        <v>15</v>
      </c>
      <c r="C83" s="48">
        <f t="shared" si="8"/>
        <v>3.0425963488843815</v>
      </c>
      <c r="D83" s="29">
        <f>COUNTIFS(SUROESTE!A:A,"Caicedo",SUROESTE!S:S,"SIN RIESGO")</f>
        <v>0</v>
      </c>
      <c r="E83" s="48">
        <f>(D83/$B$87)*100</f>
        <v>0</v>
      </c>
      <c r="F83" s="29">
        <f>COUNTIFS(SUROESTE!A:A,"Caicedo",SUROESTE!S:S,"BAJO")</f>
        <v>0</v>
      </c>
      <c r="G83" s="48">
        <f>(F83/$B$87)*100</f>
        <v>0</v>
      </c>
      <c r="H83" s="29">
        <f>COUNTIFS(OCCIDENTE!A:A,"Caicedo",OCCIDENTE!S:S,"MEDIO")</f>
        <v>0</v>
      </c>
      <c r="I83" s="48">
        <f>(H83/$B$87)*100</f>
        <v>0</v>
      </c>
      <c r="J83" s="29">
        <f>COUNTIFS(OCCIDENTE!A:A,"Caicedo",OCCIDENTE!S:S,"ALTO")</f>
        <v>0</v>
      </c>
      <c r="K83" s="48">
        <f>(J83/$B$87)*100</f>
        <v>0</v>
      </c>
      <c r="L83" s="29">
        <f>COUNTIFS(OCCIDENTE!A:A,"Caicedo",OCCIDENTE!S:S,"INVIABLE SANITARIAMENTE")</f>
        <v>14</v>
      </c>
      <c r="M83" s="48">
        <f>(L83/$B$87)*100</f>
        <v>34.146341463414636</v>
      </c>
      <c r="N83" s="205">
        <f t="shared" si="9"/>
        <v>1</v>
      </c>
      <c r="O83" s="48">
        <f>(N83/$B$87)*100</f>
        <v>2.4390243902439024</v>
      </c>
      <c r="P83" s="24"/>
    </row>
    <row r="84" spans="1:16" ht="15.75">
      <c r="A84" s="285" t="s">
        <v>142</v>
      </c>
      <c r="B84" s="210">
        <f>'CONSOLIDADO-ACUEDUCTOSRURALES1'!D54</f>
        <v>55</v>
      </c>
      <c r="C84" s="48">
        <f t="shared" si="8"/>
        <v>11.156186612576064</v>
      </c>
      <c r="D84" s="29">
        <f>COUNTIFS(OCCIDENTE!A:A,"Cañasgordas",OCCIDENTE!S:S,"SIN RIESGO")</f>
        <v>0</v>
      </c>
      <c r="E84" s="48">
        <f>(D84/$B$83)*100</f>
        <v>0</v>
      </c>
      <c r="F84" s="29">
        <f>COUNTIFS(OCCIDENTE!A:A,"Cañasgordas",OCCIDENTE!S:S,"BAJO")</f>
        <v>0</v>
      </c>
      <c r="G84" s="48">
        <f>(F84/$B$83)*100</f>
        <v>0</v>
      </c>
      <c r="H84" s="29">
        <f>COUNTIFS(OCCIDENTE!A:A,"Cañasgordas",OCCIDENTE!S:S,"MEDIO")</f>
        <v>0</v>
      </c>
      <c r="I84" s="48">
        <f>(H84/$B$83)*100</f>
        <v>0</v>
      </c>
      <c r="J84" s="29">
        <f>COUNTIFS(OCCIDENTE!A:A,"Cañasgordas",OCCIDENTE!S:S,"ALTO")</f>
        <v>1</v>
      </c>
      <c r="K84" s="48">
        <f>(J84/$B$83)*100</f>
        <v>6.666666666666667</v>
      </c>
      <c r="L84" s="29">
        <f>COUNTIFS(OCCIDENTE!A:A,"Cañasgordas",OCCIDENTE!S:S,"INVIABLE SANITARIAMENTE")</f>
        <v>43</v>
      </c>
      <c r="M84" s="48">
        <f>(L84/$B$83)*100</f>
        <v>286.66666666666669</v>
      </c>
      <c r="N84" s="205">
        <f t="shared" si="9"/>
        <v>11</v>
      </c>
      <c r="O84" s="48">
        <f>(N84/$B$83)*100</f>
        <v>73.333333333333329</v>
      </c>
      <c r="P84" s="24"/>
    </row>
    <row r="85" spans="1:16" ht="15.75">
      <c r="A85" s="285" t="s">
        <v>143</v>
      </c>
      <c r="B85" s="210">
        <f>'CONSOLIDADO-ACUEDUCTOSRURALES1'!D55</f>
        <v>29</v>
      </c>
      <c r="C85" s="48">
        <f t="shared" si="8"/>
        <v>5.8823529411764701</v>
      </c>
      <c r="D85" s="29">
        <f>COUNTIFS(OCCIDENTE!A:A,"Dabeiba",OCCIDENTE!S:S,"SIN RIESGO")</f>
        <v>0</v>
      </c>
      <c r="E85" s="48">
        <f>(D85/$B$84)*100</f>
        <v>0</v>
      </c>
      <c r="F85" s="29">
        <f>COUNTIFS(OCCIDENTE!A:A,"Dabeiba",OCCIDENTE!S:S,"BAJO")</f>
        <v>0</v>
      </c>
      <c r="G85" s="48">
        <f>(F85/$B$84)*100</f>
        <v>0</v>
      </c>
      <c r="H85" s="29">
        <f>COUNTIFS(OCCIDENTE!A:A,"Dabeiba",OCCIDENTE!S:S,"MEDIO")</f>
        <v>0</v>
      </c>
      <c r="I85" s="48">
        <f>(H85/$B$84)*100</f>
        <v>0</v>
      </c>
      <c r="J85" s="29">
        <f>COUNTIFS(OCCIDENTE!A:A,"Dabeiba",OCCIDENTE!S:S,"ALTO")</f>
        <v>0</v>
      </c>
      <c r="K85" s="48">
        <f>(J85/$B$84)*100</f>
        <v>0</v>
      </c>
      <c r="L85" s="29">
        <f>COUNTIFS(OCCIDENTE!A:A,"Dabeiba",OCCIDENTE!S:S,"INVIABLE SANITARIAMENTE")</f>
        <v>29</v>
      </c>
      <c r="M85" s="48">
        <f>(L85/$B$84)*100</f>
        <v>52.72727272727272</v>
      </c>
      <c r="N85" s="205">
        <f t="shared" si="9"/>
        <v>0</v>
      </c>
      <c r="O85" s="48">
        <f>(N85/$B$84)*100</f>
        <v>0</v>
      </c>
      <c r="P85" s="24"/>
    </row>
    <row r="86" spans="1:16" ht="15.75">
      <c r="A86" s="285" t="s">
        <v>144</v>
      </c>
      <c r="B86" s="210">
        <f>'CONSOLIDADO-ACUEDUCTOSRURALES1'!D56</f>
        <v>32</v>
      </c>
      <c r="C86" s="48">
        <f t="shared" si="8"/>
        <v>6.4908722109533468</v>
      </c>
      <c r="D86" s="29">
        <f>COUNTIFS(OCCIDENTE!A:A,"Ebéjico",OCCIDENTE!S:S,"SIN RIESGO")</f>
        <v>3</v>
      </c>
      <c r="E86" s="48">
        <f>(D86/$B$85)*100</f>
        <v>10.344827586206897</v>
      </c>
      <c r="F86" s="29">
        <f>COUNTIFS(OCCIDENTE!A:A,"Ebéjico",OCCIDENTE!S:S,"BAJO")</f>
        <v>0</v>
      </c>
      <c r="G86" s="48">
        <f>(F86/$B$85)*100</f>
        <v>0</v>
      </c>
      <c r="H86" s="29">
        <f>COUNTIFS(OCCIDENTE!A:A,"Ebéjico",OCCIDENTE!S:S,"MEDIO")</f>
        <v>0</v>
      </c>
      <c r="I86" s="48">
        <f>(H86/$B$85)*100</f>
        <v>0</v>
      </c>
      <c r="J86" s="29">
        <f>COUNTIFS(OCCIDENTE!A:A,"Ebéjico",OCCIDENTE!S:S,"ALTO")</f>
        <v>0</v>
      </c>
      <c r="K86" s="48" t="s">
        <v>3880</v>
      </c>
      <c r="L86" s="29">
        <f>COUNTIFS(OCCIDENTE!A:A,"Ebéjico",OCCIDENTE!S:S,"INVIABLE SANITARIAMENTE")</f>
        <v>28</v>
      </c>
      <c r="M86" s="48">
        <f>(L86/$B$85)*100</f>
        <v>96.551724137931032</v>
      </c>
      <c r="N86" s="205">
        <f t="shared" si="9"/>
        <v>1</v>
      </c>
      <c r="O86" s="48">
        <f>(N86/$B$85)*100</f>
        <v>3.4482758620689653</v>
      </c>
      <c r="P86" s="24"/>
    </row>
    <row r="87" spans="1:16" ht="15.75">
      <c r="A87" s="285" t="s">
        <v>145</v>
      </c>
      <c r="B87" s="210">
        <f>'CONSOLIDADO-ACUEDUCTOSRURALES1'!D57</f>
        <v>41</v>
      </c>
      <c r="C87" s="48">
        <f t="shared" si="8"/>
        <v>8.3164300202839758</v>
      </c>
      <c r="D87" s="29">
        <f>COUNTIFS(OCCIDENTE!A:A,"Frontino",OCCIDENTE!S:S,"SIN RIESGO")</f>
        <v>0</v>
      </c>
      <c r="E87" s="48">
        <f>(D87/$B$86)*100</f>
        <v>0</v>
      </c>
      <c r="F87" s="29">
        <f>COUNTIFS(OCCIDENTE!A:A,"Frontino",OCCIDENTE!S:S,"BAJO")</f>
        <v>0</v>
      </c>
      <c r="G87" s="48">
        <f>(F87/$B$86)*100</f>
        <v>0</v>
      </c>
      <c r="H87" s="29">
        <f>COUNTIFS(OCCIDENTE!A:A,"Frontino",OCCIDENTE!S:S,"MEDIO")</f>
        <v>0</v>
      </c>
      <c r="I87" s="48">
        <f>(H87/$B$86)*100</f>
        <v>0</v>
      </c>
      <c r="J87" s="29">
        <f>COUNTIFS(OCCIDENTE!A:A,"Frontino",OCCIDENTE!S:S,"ALTO")</f>
        <v>18</v>
      </c>
      <c r="K87" s="48">
        <f>(J87/$B$86)*100</f>
        <v>56.25</v>
      </c>
      <c r="L87" s="29">
        <f>COUNTIFS(OCCIDENTE!A:A,"Frontino",OCCIDENTE!S:S,"INVIABLE SANITARIAMENTE")</f>
        <v>16</v>
      </c>
      <c r="M87" s="48">
        <f>(L87/$B$86)*100</f>
        <v>50</v>
      </c>
      <c r="N87" s="205">
        <f t="shared" si="9"/>
        <v>7</v>
      </c>
      <c r="O87" s="48">
        <f>(N87/$B$86)*100</f>
        <v>21.875</v>
      </c>
      <c r="P87" s="24"/>
    </row>
    <row r="88" spans="1:16" ht="15.75">
      <c r="A88" s="285" t="s">
        <v>147</v>
      </c>
      <c r="B88" s="210">
        <f>'CONSOLIDADO-ACUEDUCTOSRURALES1'!D58</f>
        <v>23</v>
      </c>
      <c r="C88" s="48">
        <f t="shared" si="8"/>
        <v>4.6653144016227177</v>
      </c>
      <c r="D88" s="29">
        <f>COUNTIFS(OCCIDENTE!A:A,"Giraldo",OCCIDENTE!S:S,"SIN RIESGO")</f>
        <v>0</v>
      </c>
      <c r="E88" s="48">
        <f>(D88/$B$88)*100</f>
        <v>0</v>
      </c>
      <c r="F88" s="29">
        <f>COUNTIFS(OCCIDENTE!A:A,"Giraldo",OCCIDENTE!S:S,"BAJO")</f>
        <v>0</v>
      </c>
      <c r="G88" s="48">
        <f>(F88/$B$88)*100</f>
        <v>0</v>
      </c>
      <c r="H88" s="29">
        <f>COUNTIFS(OCCIDENTE!A:A,"Giraldo",OCCIDENTE!S:S,"MEDIO")</f>
        <v>0</v>
      </c>
      <c r="I88" s="48">
        <f>(H88/$B$88)*100</f>
        <v>0</v>
      </c>
      <c r="J88" s="29">
        <f>COUNTIFS(OCCIDENTE!A:A,"Giraldo",OCCIDENTE!S:S,"ALTO")</f>
        <v>0</v>
      </c>
      <c r="K88" s="48">
        <f>(J88/$B$88)*100</f>
        <v>0</v>
      </c>
      <c r="L88" s="29">
        <f>COUNTIFS(OCCIDENTE!A:A,"Giraldo",OCCIDENTE!S:S,"INVIABLE SANITARIAMENTE")</f>
        <v>23</v>
      </c>
      <c r="M88" s="48">
        <f>(L88/$B$88)*100</f>
        <v>100</v>
      </c>
      <c r="N88" s="205">
        <f t="shared" si="9"/>
        <v>0</v>
      </c>
      <c r="O88" s="48">
        <f>(N88/$B$88)*100</f>
        <v>0</v>
      </c>
      <c r="P88" s="24"/>
    </row>
    <row r="89" spans="1:16" ht="15.75">
      <c r="A89" s="285" t="s">
        <v>148</v>
      </c>
      <c r="B89" s="210">
        <f>'CONSOLIDADO-ACUEDUCTOSRURALES1'!D59</f>
        <v>18</v>
      </c>
      <c r="C89" s="48">
        <f t="shared" si="8"/>
        <v>3.6511156186612577</v>
      </c>
      <c r="D89" s="29">
        <f>COUNTIFS(OCCIDENTE!A:A,"Heliconia",OCCIDENTE!S:S,"SIN RIESGO")</f>
        <v>2</v>
      </c>
      <c r="E89" s="48">
        <f>(D89/$B$89)*100</f>
        <v>11.111111111111111</v>
      </c>
      <c r="F89" s="29">
        <f>COUNTIFS(OCCIDENTE!A:A,"Heliconia",OCCIDENTE!S:S,"BAJO")</f>
        <v>0</v>
      </c>
      <c r="G89" s="48">
        <f>(F89/$B$89)*100</f>
        <v>0</v>
      </c>
      <c r="H89" s="29">
        <f>COUNTIFS(OCCIDENTE!A:A,"Heliconia",OCCIDENTE!S:S,"MEDIO")</f>
        <v>0</v>
      </c>
      <c r="I89" s="48">
        <f>(H89/$B$89)*100</f>
        <v>0</v>
      </c>
      <c r="J89" s="29">
        <f>COUNTIFS(OCCIDENTE!A:A,"Heliconia",OCCIDENTE!S:S,"ALTO")</f>
        <v>2</v>
      </c>
      <c r="K89" s="48">
        <f>(J89/$B$89)*100</f>
        <v>11.111111111111111</v>
      </c>
      <c r="L89" s="29">
        <f>COUNTIFS(OCCIDENTE!A:A,"Heliconia",OCCIDENTE!S:S,"INVIABLE SANITARIAMENTE")</f>
        <v>11</v>
      </c>
      <c r="M89" s="48">
        <f>(L89/$B$89)*100</f>
        <v>61.111111111111114</v>
      </c>
      <c r="N89" s="205">
        <f t="shared" si="9"/>
        <v>3</v>
      </c>
      <c r="O89" s="48">
        <f>(N89/$B$89)*100</f>
        <v>16.666666666666664</v>
      </c>
      <c r="P89" s="24"/>
    </row>
    <row r="90" spans="1:16" ht="15.75">
      <c r="A90" s="285" t="s">
        <v>149</v>
      </c>
      <c r="B90" s="210">
        <f>'CONSOLIDADO-ACUEDUCTOSRURALES1'!D60</f>
        <v>35</v>
      </c>
      <c r="C90" s="48">
        <f t="shared" si="8"/>
        <v>7.0993914807302234</v>
      </c>
      <c r="D90" s="29">
        <f>COUNTIFS(OCCIDENTE!A:A,"Liborina",OCCIDENTE!S:S,"SIN RIESGO")</f>
        <v>1</v>
      </c>
      <c r="E90" s="48">
        <f>(D90/$B$90)*100</f>
        <v>2.8571428571428572</v>
      </c>
      <c r="F90" s="213">
        <f>COUNTIFS(OCCIDENTE!A:A,"liborina",OCCIDENTE!S:S,"BAJO")</f>
        <v>0</v>
      </c>
      <c r="G90" s="48">
        <f>(F90/$B$90)*100</f>
        <v>0</v>
      </c>
      <c r="H90" s="29">
        <f>COUNTIFS(OCCIDENTE!A:A,"Liborina",OCCIDENTE!S:S,"MEDIO")</f>
        <v>1</v>
      </c>
      <c r="I90" s="48">
        <f>(H90/$B$90)*100</f>
        <v>2.8571428571428572</v>
      </c>
      <c r="J90" s="29">
        <f>COUNTIFS(OCCIDENTE!A:A,"Liborina",OCCIDENTE!S:S,"ALTO")</f>
        <v>0</v>
      </c>
      <c r="K90" s="48">
        <f>(J90/$B$90)*100</f>
        <v>0</v>
      </c>
      <c r="L90" s="29">
        <f>COUNTIFS(OCCIDENTE!A:A,"Liborina",OCCIDENTE!S:S,"INVIABLE SANITARIAMENTE")</f>
        <v>33</v>
      </c>
      <c r="M90" s="48">
        <f>(L90/$B$90)*100</f>
        <v>94.285714285714278</v>
      </c>
      <c r="N90" s="205">
        <f t="shared" si="9"/>
        <v>0</v>
      </c>
      <c r="O90" s="48">
        <f>(N90/$B$90)*100</f>
        <v>0</v>
      </c>
      <c r="P90" s="24"/>
    </row>
    <row r="91" spans="1:16" ht="15.75">
      <c r="A91" s="285" t="s">
        <v>150</v>
      </c>
      <c r="B91" s="210">
        <f>'CONSOLIDADO-ACUEDUCTOSRURALES1'!D61</f>
        <v>7</v>
      </c>
      <c r="C91" s="48">
        <f t="shared" si="8"/>
        <v>1.4198782961460445</v>
      </c>
      <c r="D91" s="29">
        <f>COUNTIFS(OCCIDENTE!A:A,"Olaya",OCCIDENTE!S:S,"SIN RIESGO")</f>
        <v>1</v>
      </c>
      <c r="E91" s="48">
        <f>(D91/$B$91)*100</f>
        <v>14.285714285714285</v>
      </c>
      <c r="F91" s="213">
        <f>COUNTIFS(OCCIDENTE!A:A,"Olaya",OCCIDENTE!S:S,"BAJO")</f>
        <v>0</v>
      </c>
      <c r="G91" s="48">
        <f>(F91/$B$91)*100</f>
        <v>0</v>
      </c>
      <c r="H91" s="29">
        <f>COUNTIFS(OCCIDENTE!A:A,"Olaya",OCCIDENTE!S:S,"MEDIO")</f>
        <v>0</v>
      </c>
      <c r="I91" s="48">
        <f>(H91/$B$91)*100</f>
        <v>0</v>
      </c>
      <c r="J91" s="29">
        <f>COUNTIFS(OCCIDENTE!A:A,"Olaya",OCCIDENTE!S:S,"ALTO")</f>
        <v>1</v>
      </c>
      <c r="K91" s="48">
        <f>(J91/$B$91)*100</f>
        <v>14.285714285714285</v>
      </c>
      <c r="L91" s="29">
        <f>COUNTIFS(OCCIDENTE!A:A,"Olaya",OCCIDENTE!S:S,"INVIABLE SANITARIAMENTE")</f>
        <v>5</v>
      </c>
      <c r="M91" s="48">
        <f>(L91/$B$91)*100</f>
        <v>71.428571428571431</v>
      </c>
      <c r="N91" s="205">
        <f t="shared" si="9"/>
        <v>0</v>
      </c>
      <c r="O91" s="48">
        <f>(N91/$B$91)*100</f>
        <v>0</v>
      </c>
      <c r="P91" s="24"/>
    </row>
    <row r="92" spans="1:16" ht="15.75">
      <c r="A92" s="285" t="s">
        <v>151</v>
      </c>
      <c r="B92" s="210">
        <f>'CONSOLIDADO-ACUEDUCTOSRURALES1'!D62</f>
        <v>36</v>
      </c>
      <c r="C92" s="48">
        <f t="shared" si="8"/>
        <v>7.3022312373225153</v>
      </c>
      <c r="D92" s="29">
        <f>COUNTIFS(OCCIDENTE!A:A,"Peque",OCCIDENTE!S:S,"SIN RIESGO")</f>
        <v>0</v>
      </c>
      <c r="E92" s="48">
        <f>(D92/$B$92)*100</f>
        <v>0</v>
      </c>
      <c r="F92" s="29">
        <f>COUNTIFS(OCCIDENTE!A:A,"Peque",OCCIDENTE!S:S,"BAJO")</f>
        <v>0</v>
      </c>
      <c r="G92" s="48">
        <f>(F92/$B$92)*100</f>
        <v>0</v>
      </c>
      <c r="H92" s="29">
        <f>COUNTIFS(OCCIDENTE!A:A,"Peque",OCCIDENTE!S:S,"MEDIO")</f>
        <v>0</v>
      </c>
      <c r="I92" s="48">
        <f>(H92/$B$92)*100</f>
        <v>0</v>
      </c>
      <c r="J92" s="29">
        <f>COUNTIFS(OCCIDENTE!A:A,"Peque",OCCIDENTE!S:S,"ALTO")</f>
        <v>0</v>
      </c>
      <c r="K92" s="48">
        <f>(J92/$B$92)*100</f>
        <v>0</v>
      </c>
      <c r="L92" s="29">
        <f>COUNTIFS(OCCIDENTE!A:A,"Peque",OCCIDENTE!S:S,"INVIABLE SANITARIAMENTE")</f>
        <v>20</v>
      </c>
      <c r="M92" s="48">
        <f>(L92/$B$92)*100</f>
        <v>55.555555555555557</v>
      </c>
      <c r="N92" s="205">
        <f t="shared" si="9"/>
        <v>16</v>
      </c>
      <c r="O92" s="48">
        <f>(N92/$B$92)*100</f>
        <v>44.444444444444443</v>
      </c>
      <c r="P92" s="24"/>
    </row>
    <row r="93" spans="1:16" ht="15.75">
      <c r="A93" s="285" t="s">
        <v>152</v>
      </c>
      <c r="B93" s="210">
        <f>'CONSOLIDADO-ACUEDUCTOSRURALES1'!D63</f>
        <v>26</v>
      </c>
      <c r="C93" s="48">
        <f t="shared" si="8"/>
        <v>5.2738336713995944</v>
      </c>
      <c r="D93" s="29">
        <f>COUNTIFS(OCCIDENTE!A:A,"Sabanalarga",OCCIDENTE!S:S,"SIN RIESGO")</f>
        <v>0</v>
      </c>
      <c r="E93" s="48">
        <f>(D93/$B$93)*100</f>
        <v>0</v>
      </c>
      <c r="F93" s="29">
        <f>COUNTIFS(OCCIDENTE!A:A,"Sabanalarga",OCCIDENTE!S:S,"BAJO")</f>
        <v>0</v>
      </c>
      <c r="G93" s="48">
        <f>(F93/$B$93)*100</f>
        <v>0</v>
      </c>
      <c r="H93" s="29">
        <f>COUNTIFS(OCCIDENTE!A:A,"Sabanalarga",OCCIDENTE!S:S,"MEDIO")</f>
        <v>0</v>
      </c>
      <c r="I93" s="48">
        <f>(H93/$B$93)*100</f>
        <v>0</v>
      </c>
      <c r="J93" s="29">
        <f>COUNTIFS(OCCIDENTE!A:A,"Sabanalarga",OCCIDENTE!S:S,"ALTO")</f>
        <v>2</v>
      </c>
      <c r="K93" s="48">
        <f>(J93/$B$93)*100</f>
        <v>7.6923076923076925</v>
      </c>
      <c r="L93" s="29">
        <f>COUNTIFS(OCCIDENTE!A:A,"Sabanalarga",OCCIDENTE!S:S,"INVIABLE SANITARIAMENTE")</f>
        <v>19</v>
      </c>
      <c r="M93" s="48">
        <f>(L93/$B$93)*100</f>
        <v>73.076923076923066</v>
      </c>
      <c r="N93" s="205">
        <f t="shared" si="9"/>
        <v>5</v>
      </c>
      <c r="O93" s="48">
        <f>(N93/$B$93)*100</f>
        <v>19.230769230769234</v>
      </c>
      <c r="P93" s="24"/>
    </row>
    <row r="94" spans="1:16" ht="15.75">
      <c r="A94" s="285" t="s">
        <v>153</v>
      </c>
      <c r="B94" s="210">
        <f>'CONSOLIDADO-ACUEDUCTOSRURALES1'!D64</f>
        <v>28</v>
      </c>
      <c r="C94" s="48">
        <f t="shared" si="8"/>
        <v>5.6795131845841782</v>
      </c>
      <c r="D94" s="29">
        <f>COUNTIFS(OCCIDENTE!A:A,"San Jerónimo",OCCIDENTE!S:S,"SIN RIESGO")</f>
        <v>3</v>
      </c>
      <c r="E94" s="48">
        <f>(D94/$B$94)*100</f>
        <v>10.714285714285714</v>
      </c>
      <c r="F94" s="29">
        <f>COUNTIFS(OCCIDENTE!A:A,"San Jerónimo",OCCIDENTE!S:S,"BAJO")</f>
        <v>0</v>
      </c>
      <c r="G94" s="48">
        <f>(F94/$B$94)*100</f>
        <v>0</v>
      </c>
      <c r="H94" s="29">
        <f>COUNTIFS(OCCIDENTE!A:A,"San Jerónimo",OCCIDENTE!S:S,"MEDIO")</f>
        <v>0</v>
      </c>
      <c r="I94" s="48">
        <f>(H94/$B$94)*100</f>
        <v>0</v>
      </c>
      <c r="J94" s="29">
        <f>COUNTIFS(OCCIDENTE!A:A,"San Jerónimo",OCCIDENTE!S:S,"ALTO")</f>
        <v>22</v>
      </c>
      <c r="K94" s="48">
        <f>(J94/$B$94)*100</f>
        <v>78.571428571428569</v>
      </c>
      <c r="L94" s="29">
        <f>COUNTIFS(OCCIDENTE!A:A,"San Jerónimo",OCCIDENTE!S:S,"INVIABLE SANITARIAMENTE")</f>
        <v>3</v>
      </c>
      <c r="M94" s="48">
        <f>(L94/$B$94)*100</f>
        <v>10.714285714285714</v>
      </c>
      <c r="N94" s="205">
        <f t="shared" si="9"/>
        <v>0</v>
      </c>
      <c r="O94" s="48">
        <f>(N94/$B$94)*100</f>
        <v>0</v>
      </c>
      <c r="P94" s="24"/>
    </row>
    <row r="95" spans="1:16" ht="15.75">
      <c r="A95" s="285" t="s">
        <v>154</v>
      </c>
      <c r="B95" s="210">
        <f>'CONSOLIDADO-ACUEDUCTOSRURALES1'!D65</f>
        <v>37</v>
      </c>
      <c r="C95" s="48">
        <f t="shared" si="8"/>
        <v>7.5050709939148073</v>
      </c>
      <c r="D95" s="29">
        <f>COUNTIFS(OCCIDENTE!A:A,"Santafe de Antioquia",OCCIDENTE!S:S,"SIN RIESGO")</f>
        <v>6</v>
      </c>
      <c r="E95" s="48">
        <f>(D95/$B$95)*100</f>
        <v>16.216216216216218</v>
      </c>
      <c r="F95" s="29">
        <f>COUNTIFS(OCCIDENTE!A:A,"Santafe de Antioquia",OCCIDENTE!S:S,"BAJO")</f>
        <v>0</v>
      </c>
      <c r="G95" s="48">
        <f>(F95/$B$95)*100</f>
        <v>0</v>
      </c>
      <c r="H95" s="29">
        <f>COUNTIFS(OCCIDENTE!A:A,"Santafe de Antioquia",OCCIDENTE!S:S,"MEDIO")</f>
        <v>0</v>
      </c>
      <c r="I95" s="48">
        <f>(H95/$B$95)*100</f>
        <v>0</v>
      </c>
      <c r="J95" s="29">
        <f>COUNTIFS(OCCIDENTE!A:A,"Santafe de Antioquia",OCCIDENTE!S:S,"ALTO")</f>
        <v>0</v>
      </c>
      <c r="K95" s="48">
        <f>(J95/$B$95)*100</f>
        <v>0</v>
      </c>
      <c r="L95" s="29">
        <f>COUNTIFS(OCCIDENTE!A:A,"Santafe de Antioquia",OCCIDENTE!S:S,"INVIABLE SANITARIAMENTE")</f>
        <v>31</v>
      </c>
      <c r="M95" s="48">
        <f>(L95/$B$95)*100</f>
        <v>83.78378378378379</v>
      </c>
      <c r="N95" s="205">
        <f t="shared" si="9"/>
        <v>0</v>
      </c>
      <c r="O95" s="48">
        <f>(N95/$B$95)*100</f>
        <v>0</v>
      </c>
      <c r="P95" s="24"/>
    </row>
    <row r="96" spans="1:16" ht="15.75">
      <c r="A96" s="285" t="s">
        <v>155</v>
      </c>
      <c r="B96" s="210">
        <f>'CONSOLIDADO-ACUEDUCTOSRURALES1'!D66</f>
        <v>27</v>
      </c>
      <c r="C96" s="48">
        <f t="shared" si="8"/>
        <v>5.4766734279918863</v>
      </c>
      <c r="D96" s="44">
        <f>COUNTIFS(OCCIDENTE!A:A,"Sopetrán",OCCIDENTE!S:S,"SIN RIESGO")</f>
        <v>4</v>
      </c>
      <c r="E96" s="48">
        <f>(D96/$B$96)*100</f>
        <v>14.814814814814813</v>
      </c>
      <c r="F96" s="44">
        <f>COUNTIFS(OCCIDENTE!A:A,"Sopetrán",OCCIDENTE!S:S,"BAJO")</f>
        <v>1</v>
      </c>
      <c r="G96" s="48">
        <f>(F96/$B$96)*100</f>
        <v>3.7037037037037033</v>
      </c>
      <c r="H96" s="29">
        <f>COUNTIFS(OCCIDENTE!A:A,"Sopetrán",OCCIDENTE!S:S,"MEDIO")</f>
        <v>3</v>
      </c>
      <c r="I96" s="48">
        <f>(H96/$B$96)*100</f>
        <v>11.111111111111111</v>
      </c>
      <c r="J96" s="29">
        <f>COUNTIFS(OCCIDENTE!A:A,"Sopetrán",OCCIDENTE!S:S,"ALTO")</f>
        <v>10</v>
      </c>
      <c r="K96" s="48">
        <f>(J96/$B$96)*100</f>
        <v>37.037037037037038</v>
      </c>
      <c r="L96" s="29">
        <f>COUNTIFS(OCCIDENTE!A:A,"Sopetrán",OCCIDENTE!S:S,"INVIABLE SANITARIAMENTE")</f>
        <v>9</v>
      </c>
      <c r="M96" s="48">
        <f>(L96/$B$96)*100</f>
        <v>33.333333333333329</v>
      </c>
      <c r="N96" s="205">
        <f t="shared" si="9"/>
        <v>0</v>
      </c>
      <c r="O96" s="48">
        <f>(N96/$B$96)*100</f>
        <v>0</v>
      </c>
      <c r="P96" s="24"/>
    </row>
    <row r="97" spans="1:16" s="28" customFormat="1" ht="15.75">
      <c r="A97" s="285" t="s">
        <v>156</v>
      </c>
      <c r="B97" s="210">
        <f>'CONSOLIDADO-ACUEDUCTOSRURALES1'!D67</f>
        <v>15</v>
      </c>
      <c r="C97" s="48">
        <f t="shared" si="8"/>
        <v>3.0425963488843815</v>
      </c>
      <c r="D97" s="29">
        <f>COUNTIFS(OCCIDENTE!A:A,"Uramita",OCCIDENTE!S:S,"SIN RIESGO")</f>
        <v>0</v>
      </c>
      <c r="E97" s="48">
        <f>(D97/$B$97)*100</f>
        <v>0</v>
      </c>
      <c r="F97" s="29">
        <f>COUNTIFS(OCCIDENTE!C:C,"Uramita",OCCIDENTE!U:U,"SIN RIESGO")</f>
        <v>0</v>
      </c>
      <c r="G97" s="48">
        <f>(F97/$B$97)*100</f>
        <v>0</v>
      </c>
      <c r="H97" s="29">
        <f>COUNTIFS(OCCIDENTE!A:A,"Uramita",OCCIDENTE!S:S,"MEDIO")</f>
        <v>0</v>
      </c>
      <c r="I97" s="48">
        <f>(H97/$B$97)*100</f>
        <v>0</v>
      </c>
      <c r="J97" s="29">
        <f>COUNTIFS(OCCIDENTE!A:A,"Uramita",OCCIDENTE!S:S,"ALTO")</f>
        <v>0</v>
      </c>
      <c r="K97" s="48">
        <f>(J97/$B$97)*100</f>
        <v>0</v>
      </c>
      <c r="L97" s="29">
        <f>COUNTIFS(OCCIDENTE!A:A,"Uramita",OCCIDENTE!S:S,"INVIABLE SANITARIAMENTE")</f>
        <v>15</v>
      </c>
      <c r="M97" s="48">
        <f>(L97/$B$97)*100</f>
        <v>100</v>
      </c>
      <c r="N97" s="205">
        <f t="shared" si="9"/>
        <v>0</v>
      </c>
      <c r="O97" s="48">
        <f>(N97/$B$97)*100</f>
        <v>0</v>
      </c>
      <c r="P97" s="27"/>
    </row>
    <row r="98" spans="1:16" s="23" customFormat="1" ht="28.5" customHeight="1">
      <c r="A98" s="71" t="s">
        <v>220</v>
      </c>
      <c r="B98" s="72">
        <f>SUM(B79:B97)</f>
        <v>493</v>
      </c>
      <c r="C98" s="73">
        <f>SUM(C79:C97)</f>
        <v>100.00000000000001</v>
      </c>
      <c r="D98" s="72">
        <f>SUM(D79:D97)</f>
        <v>21</v>
      </c>
      <c r="E98" s="73">
        <f>(D98/$B$98)*100</f>
        <v>4.2596348884381339</v>
      </c>
      <c r="F98" s="72">
        <f>SUM(F79:F97)</f>
        <v>1</v>
      </c>
      <c r="G98" s="73">
        <f>(F98/$B$98)*100</f>
        <v>0.20283975659229209</v>
      </c>
      <c r="H98" s="72">
        <f>SUM(H79:H97)</f>
        <v>4</v>
      </c>
      <c r="I98" s="73">
        <f>(H98/$B$98)*100</f>
        <v>0.81135902636916835</v>
      </c>
      <c r="J98" s="72">
        <f>SUM(J79:J97)</f>
        <v>59</v>
      </c>
      <c r="K98" s="73">
        <f>(J98/$B$98)*100</f>
        <v>11.967545638945234</v>
      </c>
      <c r="L98" s="72">
        <f>SUM(L79:L97)</f>
        <v>356</v>
      </c>
      <c r="M98" s="73">
        <f>(L98/$B$98)*100</f>
        <v>72.210953346855987</v>
      </c>
      <c r="N98" s="72">
        <f>SUM(N79:N97)</f>
        <v>52</v>
      </c>
      <c r="O98" s="73">
        <f>(N98/$B$98)*100</f>
        <v>10.547667342799189</v>
      </c>
      <c r="P98" s="26"/>
    </row>
    <row r="99" spans="1:16">
      <c r="A99" s="33"/>
      <c r="B99" s="62"/>
      <c r="C99" s="33"/>
      <c r="D99" s="62"/>
      <c r="E99" s="33"/>
      <c r="F99" s="62"/>
      <c r="G99" s="33"/>
      <c r="H99" s="62"/>
      <c r="I99" s="33"/>
      <c r="J99" s="62"/>
      <c r="K99" s="33"/>
      <c r="L99" s="62"/>
      <c r="M99" s="33"/>
      <c r="N99" s="62"/>
      <c r="O99" s="33"/>
      <c r="P99" s="4"/>
    </row>
    <row r="100" spans="1:16">
      <c r="A100" s="33"/>
      <c r="B100" s="62"/>
      <c r="C100" s="33"/>
      <c r="D100" s="62"/>
      <c r="E100" s="33"/>
      <c r="F100" s="62"/>
      <c r="G100" s="33"/>
      <c r="H100" s="62"/>
      <c r="I100" s="33"/>
      <c r="J100" s="62"/>
      <c r="K100" s="33"/>
      <c r="L100" s="62"/>
      <c r="M100" s="33"/>
      <c r="N100" s="62"/>
      <c r="O100" s="33"/>
      <c r="P100" s="4"/>
    </row>
    <row r="101" spans="1:16" ht="23.25" customHeight="1">
      <c r="A101" s="731" t="s">
        <v>4465</v>
      </c>
      <c r="B101" s="731"/>
      <c r="C101" s="731"/>
      <c r="D101" s="731"/>
      <c r="E101" s="731"/>
      <c r="F101" s="731"/>
      <c r="G101" s="731"/>
      <c r="H101" s="731"/>
      <c r="I101" s="731"/>
      <c r="J101" s="731"/>
      <c r="K101" s="731"/>
      <c r="L101" s="731"/>
      <c r="M101" s="731"/>
      <c r="N101" s="731"/>
      <c r="O101" s="731"/>
      <c r="P101" s="24"/>
    </row>
    <row r="102" spans="1:16" ht="132.75" customHeight="1">
      <c r="A102" s="246" t="s">
        <v>11</v>
      </c>
      <c r="B102" s="68" t="s">
        <v>249</v>
      </c>
      <c r="C102" s="246" t="s">
        <v>101</v>
      </c>
      <c r="D102" s="249" t="s">
        <v>243</v>
      </c>
      <c r="E102" s="246" t="s">
        <v>101</v>
      </c>
      <c r="F102" s="250" t="s">
        <v>244</v>
      </c>
      <c r="G102" s="246" t="s">
        <v>101</v>
      </c>
      <c r="H102" s="251" t="s">
        <v>245</v>
      </c>
      <c r="I102" s="246" t="s">
        <v>101</v>
      </c>
      <c r="J102" s="252" t="s">
        <v>246</v>
      </c>
      <c r="K102" s="246" t="s">
        <v>101</v>
      </c>
      <c r="L102" s="253" t="s">
        <v>247</v>
      </c>
      <c r="M102" s="246" t="s">
        <v>101</v>
      </c>
      <c r="N102" s="68" t="s">
        <v>248</v>
      </c>
      <c r="O102" s="246" t="s">
        <v>101</v>
      </c>
      <c r="P102" s="24"/>
    </row>
    <row r="103" spans="1:16" ht="15.75">
      <c r="A103" s="285" t="s">
        <v>158</v>
      </c>
      <c r="B103" s="44">
        <f>'CONSOLIDADO-ACUEDUCTOSRURALES1'!D69</f>
        <v>34</v>
      </c>
      <c r="C103" s="48">
        <f>(B103/$B$126)*100</f>
        <v>6.666666666666667</v>
      </c>
      <c r="D103" s="29">
        <f>COUNTIFS(SUROESTE!A:A,"Amagá",SUROESTE!S:S,"SIN RIESGO")</f>
        <v>0</v>
      </c>
      <c r="E103" s="48">
        <f>(D103/$B$103)*100</f>
        <v>0</v>
      </c>
      <c r="F103" s="29">
        <f>COUNTIFS(SUROESTE!A:A,"Amagá",SUROESTE!S:S,"BAJO")</f>
        <v>1</v>
      </c>
      <c r="G103" s="48">
        <f>(F103/$B$103)*100</f>
        <v>2.9411764705882351</v>
      </c>
      <c r="H103" s="29">
        <f>COUNTIFS(SUROESTE!A:A,"Amagá",SUROESTE!S:S,"MEDIO")</f>
        <v>0</v>
      </c>
      <c r="I103" s="48">
        <f>(H103/$B$103)*100</f>
        <v>0</v>
      </c>
      <c r="J103" s="29">
        <f>COUNTIFS(SUROESTE!A:A,"Amagá",SUROESTE!S:S,"ALTO")</f>
        <v>15</v>
      </c>
      <c r="K103" s="48">
        <f>(J103/$B$103)*100</f>
        <v>44.117647058823529</v>
      </c>
      <c r="L103" s="29">
        <f>COUNTIFS(SUROESTE!A:A,"Amagá",SUROESTE!S:S,"INVIABLE SANITARIAMENTE")</f>
        <v>18</v>
      </c>
      <c r="M103" s="48">
        <f>(L103/$B$103)*100</f>
        <v>52.941176470588239</v>
      </c>
      <c r="N103" s="29">
        <f>B103-(D103+F103+H103+J103+L103)</f>
        <v>0</v>
      </c>
      <c r="O103" s="48">
        <f>(N103/$B$103)*100</f>
        <v>0</v>
      </c>
      <c r="P103" s="24"/>
    </row>
    <row r="104" spans="1:16" ht="15.75">
      <c r="A104" s="285" t="s">
        <v>159</v>
      </c>
      <c r="B104" s="44">
        <f>'CONSOLIDADO-ACUEDUCTOSRURALES1'!D70</f>
        <v>56</v>
      </c>
      <c r="C104" s="48">
        <f t="shared" ref="C104:C125" si="10">(B104/$B$126)*100</f>
        <v>10.980392156862745</v>
      </c>
      <c r="D104" s="29">
        <f>COUNTIFS(SUROESTE!A:A,"Andes",SUROESTE!S:S,"SIN RIESGO")</f>
        <v>15</v>
      </c>
      <c r="E104" s="48">
        <f>(D104/$B$104)*100</f>
        <v>26.785714285714285</v>
      </c>
      <c r="F104" s="29">
        <f>COUNTIFS(SUROESTE!A:A,"Andes",SUROESTE!S:S,"BAJO")</f>
        <v>0</v>
      </c>
      <c r="G104" s="48">
        <f>(F104/$B$104)*100</f>
        <v>0</v>
      </c>
      <c r="H104" s="29">
        <f>COUNTIFS(SUROESTE!A:A,"Andes",SUROESTE!S:S,"MEDIO")</f>
        <v>6</v>
      </c>
      <c r="I104" s="48">
        <f>(H104/$B$104)*100</f>
        <v>10.714285714285714</v>
      </c>
      <c r="J104" s="29">
        <f>COUNTIFS(SUROESTE!A:A,"Andes",SUROESTE!S:S,"ALTO")</f>
        <v>10</v>
      </c>
      <c r="K104" s="48">
        <f>(J104/$B$104)*100</f>
        <v>17.857142857142858</v>
      </c>
      <c r="L104" s="29">
        <f>COUNTIFS(SUROESTE!A:A,"Andes",SUROESTE!S:S,"INVIABLE SANITARIAMENTE")</f>
        <v>15</v>
      </c>
      <c r="M104" s="48">
        <f>(L104/$B$104)*100</f>
        <v>26.785714285714285</v>
      </c>
      <c r="N104" s="205">
        <f t="shared" ref="N104:N125" si="11">B104-(D104+F104+H104+J104+L104)</f>
        <v>10</v>
      </c>
      <c r="O104" s="48">
        <f>(N104/$B$104)*100</f>
        <v>17.857142857142858</v>
      </c>
      <c r="P104" s="24"/>
    </row>
    <row r="105" spans="1:16" ht="15.75">
      <c r="A105" s="285" t="s">
        <v>3768</v>
      </c>
      <c r="B105" s="44">
        <f>'CONSOLIDADO-ACUEDUCTOSRURALES1'!D71</f>
        <v>12</v>
      </c>
      <c r="C105" s="48">
        <f t="shared" si="10"/>
        <v>2.3529411764705883</v>
      </c>
      <c r="D105" s="29">
        <f>COUNTIFS(SUROESTE!A:A,"Angelópolis",SUROESTE!S:S,"SIN RIESGO")</f>
        <v>1</v>
      </c>
      <c r="E105" s="48">
        <f>(D105/$B$105)*100</f>
        <v>8.3333333333333321</v>
      </c>
      <c r="F105" s="29">
        <f>COUNTIFS(SUROESTE!A:A,"Angelópolis",SUROESTE!S:S,"BAJO")</f>
        <v>0</v>
      </c>
      <c r="G105" s="48">
        <f>(F105/$B$105)*100</f>
        <v>0</v>
      </c>
      <c r="H105" s="29">
        <f>COUNTIFS(SUROESTE!A:A,"Angelópolis",SUROESTE!S:S,"MEDIO")</f>
        <v>0</v>
      </c>
      <c r="I105" s="48">
        <f>(H105/$B$105)*100</f>
        <v>0</v>
      </c>
      <c r="J105" s="29">
        <f>COUNTIFS(SUROESTE!A:A,"Angelópolis",SUROESTE!S:S,"ALTO")</f>
        <v>0</v>
      </c>
      <c r="K105" s="48">
        <f>(J105/$B$105)*100</f>
        <v>0</v>
      </c>
      <c r="L105" s="29">
        <f>COUNTIFS(SUROESTE!A:A,"Angelópolis",SUROESTE!S:S,"INVIABLE SANITARIAMENTE")</f>
        <v>11</v>
      </c>
      <c r="M105" s="48">
        <f>(L105/$B$105)*100</f>
        <v>91.666666666666657</v>
      </c>
      <c r="N105" s="205">
        <f t="shared" si="11"/>
        <v>0</v>
      </c>
      <c r="O105" s="48">
        <f>(N105/$B$105)*100</f>
        <v>0</v>
      </c>
      <c r="P105" s="24"/>
    </row>
    <row r="106" spans="1:16" ht="15.75">
      <c r="A106" s="285" t="s">
        <v>160</v>
      </c>
      <c r="B106" s="44">
        <f>'CONSOLIDADO-ACUEDUCTOSRURALES1'!D72</f>
        <v>20</v>
      </c>
      <c r="C106" s="48">
        <f t="shared" si="10"/>
        <v>3.9215686274509802</v>
      </c>
      <c r="D106" s="29">
        <f>COUNTIFS(SUROESTE!A:A,"Betania",SUROESTE!S:S,"SIN RIESGO")</f>
        <v>11</v>
      </c>
      <c r="E106" s="48">
        <f>(D106/$B$106)*100</f>
        <v>55.000000000000007</v>
      </c>
      <c r="F106" s="29">
        <f>COUNTIFS(SUROESTE!A:A,"Betania",SUROESTE!S:S,"BAJO")</f>
        <v>0</v>
      </c>
      <c r="G106" s="48">
        <f>(F106/$B$106)*100</f>
        <v>0</v>
      </c>
      <c r="H106" s="29">
        <f>COUNTIFS(SUROESTE!A:A,"Betania",SUROESTE!S:S,"MEDIO")</f>
        <v>0</v>
      </c>
      <c r="I106" s="48">
        <f>(H106/$B$106)*100</f>
        <v>0</v>
      </c>
      <c r="J106" s="29">
        <f>COUNTIFS(SUROESTE!A:A,"Betania",SUROESTE!S:S,"ALTO")</f>
        <v>0</v>
      </c>
      <c r="K106" s="48">
        <f>(J106/$B$106)*100</f>
        <v>0</v>
      </c>
      <c r="L106" s="29">
        <f>COUNTIFS(SUROESTE!A:A,"Betania",SUROESTE!S:S,"INVIABLE SANITARIAMENTE")</f>
        <v>8</v>
      </c>
      <c r="M106" s="48">
        <f>(L106/$B$106)*100</f>
        <v>40</v>
      </c>
      <c r="N106" s="205">
        <f t="shared" si="11"/>
        <v>1</v>
      </c>
      <c r="O106" s="48">
        <f>(N106/$B$106)*100</f>
        <v>5</v>
      </c>
      <c r="P106" s="24"/>
    </row>
    <row r="107" spans="1:16" ht="15.75">
      <c r="A107" s="285" t="s">
        <v>46</v>
      </c>
      <c r="B107" s="44">
        <f>'CONSOLIDADO-ACUEDUCTOSRURALES1'!D73</f>
        <v>28</v>
      </c>
      <c r="C107" s="48">
        <f t="shared" si="10"/>
        <v>5.4901960784313726</v>
      </c>
      <c r="D107" s="29">
        <f>COUNTIFS(SUROESTE!A:A,"Betulia",SUROESTE!S:S,"SIN RIESGO")</f>
        <v>4</v>
      </c>
      <c r="E107" s="48">
        <f>(D107/$B$107)*100</f>
        <v>14.285714285714285</v>
      </c>
      <c r="F107" s="29">
        <f>COUNTIFS(SUROESTE!A:A,"Betulia",SUROESTE!S:S,"BAJO")</f>
        <v>0</v>
      </c>
      <c r="G107" s="48">
        <f>(F107/$B$107)*100</f>
        <v>0</v>
      </c>
      <c r="H107" s="29">
        <f>COUNTIFS(SUROESTE!A:A,"Betulia",SUROESTE!S:S,"MEDIO")</f>
        <v>0</v>
      </c>
      <c r="I107" s="48">
        <f>(H107/$B$107)*100</f>
        <v>0</v>
      </c>
      <c r="J107" s="29">
        <f>COUNTIFS(SUROESTE!A:A,"Betulia",SUROESTE!S:S,"ALTO")</f>
        <v>19</v>
      </c>
      <c r="K107" s="48">
        <f>(J107/$B$107)*100</f>
        <v>67.857142857142861</v>
      </c>
      <c r="L107" s="29">
        <f>COUNTIFS(SUROESTE!A:A,"Betulia",SUROESTE!S:S,"INVIABLE SANITARIAMENTE")</f>
        <v>5</v>
      </c>
      <c r="M107" s="48">
        <f>(L107/$B$107)*100</f>
        <v>17.857142857142858</v>
      </c>
      <c r="N107" s="205">
        <f t="shared" si="11"/>
        <v>0</v>
      </c>
      <c r="O107" s="48">
        <f>(N107/$B$107)*100</f>
        <v>0</v>
      </c>
      <c r="P107" s="24"/>
    </row>
    <row r="108" spans="1:16" ht="15.75">
      <c r="A108" s="285" t="s">
        <v>161</v>
      </c>
      <c r="B108" s="44">
        <f>'CONSOLIDADO-ACUEDUCTOSRURALES1'!D74</f>
        <v>16</v>
      </c>
      <c r="C108" s="48">
        <f t="shared" si="10"/>
        <v>3.1372549019607843</v>
      </c>
      <c r="D108" s="29">
        <f>COUNTIFS(SUROESTE!A:A,"Caramanta",SUROESTE!S:S,"SIN RIESGO")</f>
        <v>0</v>
      </c>
      <c r="E108" s="48">
        <f>(D108/$B$108)*100</f>
        <v>0</v>
      </c>
      <c r="F108" s="29">
        <f>COUNTIFS(SUROESTE!A:A,"Caramanta",SUROESTE!S:S,"BAJO")</f>
        <v>0</v>
      </c>
      <c r="G108" s="48">
        <f>(F108/$B$108)*100</f>
        <v>0</v>
      </c>
      <c r="H108" s="29">
        <f>COUNTIFS(SUROESTE!A:A,"Caramanta",SUROESTE!S:S,"MEDIO")</f>
        <v>0</v>
      </c>
      <c r="I108" s="48">
        <f>(H108/$B$108)*100</f>
        <v>0</v>
      </c>
      <c r="J108" s="29">
        <f>COUNTIFS(SUROESTE!A:A,"Caramanta",SUROESTE!S:S,"ALTO")</f>
        <v>0</v>
      </c>
      <c r="K108" s="48">
        <f>(J108/$B$108)*100</f>
        <v>0</v>
      </c>
      <c r="L108" s="29">
        <f>COUNTIFS(SUROESTE!A:A,"Caramanta",SUROESTE!S:S,"INVIABLE SANITARIAMENTE")</f>
        <v>14</v>
      </c>
      <c r="M108" s="48">
        <f>(L108/$B$108)*100</f>
        <v>87.5</v>
      </c>
      <c r="N108" s="205">
        <f t="shared" si="11"/>
        <v>2</v>
      </c>
      <c r="O108" s="48">
        <f>(N108/$B$108)*100</f>
        <v>12.5</v>
      </c>
      <c r="P108" s="24"/>
    </row>
    <row r="109" spans="1:16" ht="15.75">
      <c r="A109" s="285" t="s">
        <v>162</v>
      </c>
      <c r="B109" s="44">
        <f>'CONSOLIDADO-ACUEDUCTOSRURALES1'!D75</f>
        <v>17</v>
      </c>
      <c r="C109" s="48">
        <f t="shared" si="10"/>
        <v>3.3333333333333335</v>
      </c>
      <c r="D109" s="29">
        <f>COUNTIFS(SUROESTE!A:A,"Ciudad Bolívar",SUROESTE!S:S,"SIN RIESGO")</f>
        <v>5</v>
      </c>
      <c r="E109" s="48">
        <f>(D109/$B$109)*100</f>
        <v>29.411764705882355</v>
      </c>
      <c r="F109" s="29">
        <f>COUNTIFS(SUROESTE!A:A,"Ciudad Bolívar",SUROESTE!S:S,"BAJO")</f>
        <v>1</v>
      </c>
      <c r="G109" s="48">
        <f>(F109/$B$109)*100</f>
        <v>5.8823529411764701</v>
      </c>
      <c r="H109" s="29">
        <f>COUNTIFS(SUROESTE!A:A,"Ciudad Bolívar",SUROESTE!S:S,"MEDIO")</f>
        <v>0</v>
      </c>
      <c r="I109" s="48">
        <f>(H109/$B$109)*100</f>
        <v>0</v>
      </c>
      <c r="J109" s="29">
        <f>COUNTIFS(SUROESTE!A:A,"Ciudad Bolívar",SUROESTE!S:S,"ALTO")</f>
        <v>1</v>
      </c>
      <c r="K109" s="48">
        <f>(J109/$B$109)*100</f>
        <v>5.8823529411764701</v>
      </c>
      <c r="L109" s="29">
        <f>COUNTIFS(SUROESTE!A:A,"Ciudad Bolívar",SUROESTE!S:S,"INVIABLE SANITARIAMENTE")</f>
        <v>10</v>
      </c>
      <c r="M109" s="48">
        <f>(L109/$B$109)*100</f>
        <v>58.82352941176471</v>
      </c>
      <c r="N109" s="205">
        <f t="shared" si="11"/>
        <v>0</v>
      </c>
      <c r="O109" s="48">
        <f>(N109/$B$109)*100</f>
        <v>0</v>
      </c>
      <c r="P109" s="24"/>
    </row>
    <row r="110" spans="1:16" ht="15.75">
      <c r="A110" s="285" t="s">
        <v>163</v>
      </c>
      <c r="B110" s="44">
        <f>'CONSOLIDADO-ACUEDUCTOSRURALES1'!D76</f>
        <v>21</v>
      </c>
      <c r="C110" s="48">
        <f t="shared" si="10"/>
        <v>4.117647058823529</v>
      </c>
      <c r="D110" s="29">
        <f>COUNTIFS(SUROESTE!A:A,"Concordia",SUROESTE!S:S,"SIN RIESGO")</f>
        <v>2</v>
      </c>
      <c r="E110" s="48">
        <f>(D110/$B$110)*100</f>
        <v>9.5238095238095237</v>
      </c>
      <c r="F110" s="29">
        <f>COUNTIFS(SUROESTE!A:A,"Concordia",SUROESTE!S:S,"BAJO")</f>
        <v>0</v>
      </c>
      <c r="G110" s="48">
        <f>(F110/$B$110)*100</f>
        <v>0</v>
      </c>
      <c r="H110" s="29">
        <f>COUNTIFS(SUROESTE!A:A,"Concordia",SUROESTE!S:S,"MEDIO")</f>
        <v>0</v>
      </c>
      <c r="I110" s="48">
        <f>(H110/$B$110)*100</f>
        <v>0</v>
      </c>
      <c r="J110" s="29">
        <f>COUNTIFS(SUROESTE!A:A,"Concordia",SUROESTE!S:S,"ALTO")</f>
        <v>5</v>
      </c>
      <c r="K110" s="48">
        <f>(J110/$B$110)*100</f>
        <v>23.809523809523807</v>
      </c>
      <c r="L110" s="29">
        <f>COUNTIFS(SUROESTE!A:A,"Concordia",SUROESTE!S:S,"INVIABLE SANITARIAMENTE")</f>
        <v>13</v>
      </c>
      <c r="M110" s="48">
        <f>(L110/$B$110)*100</f>
        <v>61.904761904761905</v>
      </c>
      <c r="N110" s="205">
        <f t="shared" si="11"/>
        <v>1</v>
      </c>
      <c r="O110" s="48">
        <f>(N110/$B$110)*100</f>
        <v>4.7619047619047619</v>
      </c>
      <c r="P110" s="24"/>
    </row>
    <row r="111" spans="1:16" ht="15.75">
      <c r="A111" s="285" t="s">
        <v>164</v>
      </c>
      <c r="B111" s="44">
        <f>'CONSOLIDADO-ACUEDUCTOSRURALES1'!D77</f>
        <v>36</v>
      </c>
      <c r="C111" s="48">
        <f t="shared" si="10"/>
        <v>7.0588235294117645</v>
      </c>
      <c r="D111" s="29">
        <f>COUNTIFS(SUROESTE!A:A,"Fredonia",SUROESTE!S:S,"SIN RIESGO")</f>
        <v>14</v>
      </c>
      <c r="E111" s="48">
        <f>(D111/$B$111)*100</f>
        <v>38.888888888888893</v>
      </c>
      <c r="F111" s="29">
        <f>COUNTIFS(SUROESTE!A:A,"Fredonia",SUROESTE!S:S,"BAJO")</f>
        <v>0</v>
      </c>
      <c r="G111" s="48">
        <f>(F111/$B$111)*100</f>
        <v>0</v>
      </c>
      <c r="H111" s="29">
        <f>COUNTIFS(SUROESTE!A:A,"Fredonia",SUROESTE!S:S,"MEDIO")</f>
        <v>2</v>
      </c>
      <c r="I111" s="48">
        <f>(H111/$B$111)*100</f>
        <v>5.5555555555555554</v>
      </c>
      <c r="J111" s="29">
        <f>COUNTIFS(SUROESTE!A:A,"Fredonia",SUROESTE!S:S,"ALTO")</f>
        <v>2</v>
      </c>
      <c r="K111" s="48">
        <f>(J111/$B$111)*100</f>
        <v>5.5555555555555554</v>
      </c>
      <c r="L111" s="29">
        <f>COUNTIFS(SUROESTE!A:A,"Fredonia",SUROESTE!S:S,"INVIABLE SANITARIAMENTE")</f>
        <v>18</v>
      </c>
      <c r="M111" s="48">
        <f>(L111/$B$111)*100</f>
        <v>50</v>
      </c>
      <c r="N111" s="205">
        <f t="shared" si="11"/>
        <v>0</v>
      </c>
      <c r="O111" s="48">
        <f>(N111/$B$111)*100</f>
        <v>0</v>
      </c>
      <c r="P111" s="24"/>
    </row>
    <row r="112" spans="1:16" ht="15.75">
      <c r="A112" s="285" t="s">
        <v>165</v>
      </c>
      <c r="B112" s="44">
        <f>'CONSOLIDADO-ACUEDUCTOSRURALES1'!D78</f>
        <v>9</v>
      </c>
      <c r="C112" s="48">
        <f t="shared" si="10"/>
        <v>1.7647058823529411</v>
      </c>
      <c r="D112" s="29">
        <f>COUNTIFS(SUROESTE!A:A,"Hispania",SUROESTE!S:S,"SIN RIESGO")</f>
        <v>1</v>
      </c>
      <c r="E112" s="48">
        <f>(D112/$B$112)*100</f>
        <v>11.111111111111111</v>
      </c>
      <c r="F112" s="29">
        <f>COUNTIFS(SUROESTE!A:A,"Hispania",SUROESTE!S:S,"BAJO")</f>
        <v>0</v>
      </c>
      <c r="G112" s="48">
        <f>(F112/$B$112)*100</f>
        <v>0</v>
      </c>
      <c r="H112" s="29">
        <f>COUNTIFS(SUROESTE!A:A,"Hispania",SUROESTE!S:S,"MEDIO")</f>
        <v>0</v>
      </c>
      <c r="I112" s="48">
        <f>(H112/$B$112)*100</f>
        <v>0</v>
      </c>
      <c r="J112" s="29">
        <f>COUNTIFS(SUROESTE!A:A,"Hispania",SUROESTE!S:S,"ALTO")</f>
        <v>4</v>
      </c>
      <c r="K112" s="48">
        <f>(J112/$B$112)*100</f>
        <v>44.444444444444443</v>
      </c>
      <c r="L112" s="29">
        <f>COUNTIFS(SUROESTE!A:A,"Hispania",SUROESTE!S:S,"INVIABLE SANITARIAMENTE")</f>
        <v>4</v>
      </c>
      <c r="M112" s="48">
        <f>(L112/$B$112)*100</f>
        <v>44.444444444444443</v>
      </c>
      <c r="N112" s="205">
        <f t="shared" si="11"/>
        <v>0</v>
      </c>
      <c r="O112" s="48">
        <f>(N112/$B$112)*100</f>
        <v>0</v>
      </c>
      <c r="P112" s="24"/>
    </row>
    <row r="113" spans="1:16" ht="15.75">
      <c r="A113" s="285" t="s">
        <v>166</v>
      </c>
      <c r="B113" s="44">
        <f>'CONSOLIDADO-ACUEDUCTOSRURALES1'!D79</f>
        <v>23</v>
      </c>
      <c r="C113" s="48">
        <f t="shared" si="10"/>
        <v>4.5098039215686274</v>
      </c>
      <c r="D113" s="29">
        <f>COUNTIFS(SUROESTE!A:A,"Jardín",SUROESTE!S:S,"SIN RIESGO")</f>
        <v>11</v>
      </c>
      <c r="E113" s="48">
        <f>(D113/$B$113)*100</f>
        <v>47.826086956521742</v>
      </c>
      <c r="F113" s="29">
        <f>COUNTIFS(SUROESTE!A:A,"Jardín",SUROESTE!S:S,"BAJO")</f>
        <v>0</v>
      </c>
      <c r="G113" s="48">
        <f>(F113/$B$113)*100</f>
        <v>0</v>
      </c>
      <c r="H113" s="29">
        <f>COUNTIFS(SUROESTE!A:A,"Jardín",SUROESTE!S:S,"MEDIO")</f>
        <v>0</v>
      </c>
      <c r="I113" s="48">
        <f>(H113/$B$113)*100</f>
        <v>0</v>
      </c>
      <c r="J113" s="29">
        <f>COUNTIFS(SUROESTE!A:A,"Jardín",SUROESTE!S:S,"ALTO")</f>
        <v>3</v>
      </c>
      <c r="K113" s="48">
        <f>(J113/$B$113)*100</f>
        <v>13.043478260869565</v>
      </c>
      <c r="L113" s="29">
        <f>COUNTIFS(SUROESTE!A:A,"Jardín",SUROESTE!S:S,"INVIABLE SANITARIAMENTE")</f>
        <v>9</v>
      </c>
      <c r="M113" s="48">
        <f>(L113/$B$113)*100</f>
        <v>39.130434782608695</v>
      </c>
      <c r="N113" s="227">
        <f t="shared" si="11"/>
        <v>0</v>
      </c>
      <c r="O113" s="48">
        <f>(N113/$B$113)*100</f>
        <v>0</v>
      </c>
      <c r="P113" s="24"/>
    </row>
    <row r="114" spans="1:16" ht="15.75">
      <c r="A114" s="285" t="s">
        <v>167</v>
      </c>
      <c r="B114" s="44">
        <f>'CONSOLIDADO-ACUEDUCTOSRURALES1'!D80</f>
        <v>25</v>
      </c>
      <c r="C114" s="48">
        <f t="shared" si="10"/>
        <v>4.9019607843137258</v>
      </c>
      <c r="D114" s="29">
        <f>COUNTIFS(SUROESTE!A:A,"Jericó",SUROESTE!S:S,"SIN RIESGO")</f>
        <v>4</v>
      </c>
      <c r="E114" s="48">
        <f>(D114/$B$114)*100</f>
        <v>16</v>
      </c>
      <c r="F114" s="29">
        <f>COUNTIFS(SUROESTE!A:A,"Jericó",SUROESTE!S:S,"BAJO")</f>
        <v>0</v>
      </c>
      <c r="G114" s="48">
        <f>(F114/$B$114)*100</f>
        <v>0</v>
      </c>
      <c r="H114" s="29">
        <f>COUNTIFS(SUROESTE!A:A,"Jericó",SUROESTE!S:S,"MEDIO")</f>
        <v>0</v>
      </c>
      <c r="I114" s="48">
        <f>(H114/$B$114)*100</f>
        <v>0</v>
      </c>
      <c r="J114" s="29">
        <f>COUNTIFS(SUROESTE!A:A,"Jericó",SUROESTE!S:S,"ALTO")</f>
        <v>8</v>
      </c>
      <c r="K114" s="48">
        <f>(J114/$B$114)*100</f>
        <v>32</v>
      </c>
      <c r="L114" s="29">
        <f>COUNTIFS(SUROESTE!A:A,"Jericó",SUROESTE!S:S,"INVIABLE SANITARIAMENTE")</f>
        <v>13</v>
      </c>
      <c r="M114" s="48">
        <f>(L114/$B$114)*100</f>
        <v>52</v>
      </c>
      <c r="N114" s="205">
        <f t="shared" si="11"/>
        <v>0</v>
      </c>
      <c r="O114" s="48">
        <f>(N114/$B$114)*100</f>
        <v>0</v>
      </c>
      <c r="P114" s="24"/>
    </row>
    <row r="115" spans="1:16" ht="15.75">
      <c r="A115" s="285" t="s">
        <v>168</v>
      </c>
      <c r="B115" s="44">
        <f>'CONSOLIDADO-ACUEDUCTOSRURALES1'!D81</f>
        <v>0</v>
      </c>
      <c r="C115" s="48">
        <f t="shared" si="10"/>
        <v>0</v>
      </c>
      <c r="D115" s="29">
        <f>COUNTIFS(SUROESTE!A:A,"La Pintada",SUROESTE!S:S,"SIN RIESGO")</f>
        <v>0</v>
      </c>
      <c r="E115" s="48">
        <v>0</v>
      </c>
      <c r="F115" s="29">
        <f>COUNTIFS(SUROESTE!A:A,"La Pintada",SUROESTE!S:S,"BAJO")</f>
        <v>0</v>
      </c>
      <c r="G115" s="48">
        <v>0</v>
      </c>
      <c r="H115" s="29">
        <f>COUNTIFS(SUROESTE!A:A,"La Pintada",SUROESTE!S:S,"MEDIO")</f>
        <v>0</v>
      </c>
      <c r="I115" s="48">
        <v>0</v>
      </c>
      <c r="J115" s="29">
        <f>COUNTIFS(SUROESTE!A:A,"La Pintada",SUROESTE!S:S,"ALTO")</f>
        <v>0</v>
      </c>
      <c r="K115" s="48">
        <v>0</v>
      </c>
      <c r="L115" s="29">
        <f>COUNTIFS(SUROESTE!A:A,"La Pintada",SUROESTE!S:S,"INVIABLE SANITARIAMENTE")</f>
        <v>0</v>
      </c>
      <c r="M115" s="48">
        <v>0</v>
      </c>
      <c r="N115" s="205">
        <f t="shared" si="11"/>
        <v>0</v>
      </c>
      <c r="O115" s="48">
        <v>0</v>
      </c>
      <c r="P115" s="24"/>
    </row>
    <row r="116" spans="1:16" ht="15.75">
      <c r="A116" s="285" t="s">
        <v>169</v>
      </c>
      <c r="B116" s="44">
        <f>'CONSOLIDADO-ACUEDUCTOSRURALES1'!D82</f>
        <v>18</v>
      </c>
      <c r="C116" s="48">
        <f t="shared" si="10"/>
        <v>3.5294117647058822</v>
      </c>
      <c r="D116" s="29">
        <f>COUNTIFS(SUROESTE!A:A,"Montebello",SUROESTE!S:S,"SIN RIESGO")</f>
        <v>3</v>
      </c>
      <c r="E116" s="48">
        <f>(D116/$B$116)*100</f>
        <v>16.666666666666664</v>
      </c>
      <c r="F116" s="29">
        <f>COUNTIFS(SUROESTE!A:A,"Montebello",SUROESTE!S:S,"BAJO")</f>
        <v>0</v>
      </c>
      <c r="G116" s="48">
        <f>(F116/$B$116)*100</f>
        <v>0</v>
      </c>
      <c r="H116" s="29">
        <f>COUNTIFS(SUROESTE!A:A,"Montebello",SUROESTE!S:S,"MEDIO")</f>
        <v>0</v>
      </c>
      <c r="I116" s="48">
        <f>(H116/$B$116)*100</f>
        <v>0</v>
      </c>
      <c r="J116" s="29">
        <f>COUNTIFS(SUROESTE!A:A,"Montebello",SUROESTE!S:S,"ALTO")</f>
        <v>0</v>
      </c>
      <c r="K116" s="48">
        <f>(J116/$B$116)*100</f>
        <v>0</v>
      </c>
      <c r="L116" s="29">
        <f>COUNTIFS(SUROESTE!A:A,"Montebello",SUROESTE!S:S,"INVIABLE SANITARIAMENTE")</f>
        <v>15</v>
      </c>
      <c r="M116" s="48">
        <f>(L116/$B$116)*100</f>
        <v>83.333333333333343</v>
      </c>
      <c r="N116" s="205">
        <f t="shared" si="11"/>
        <v>0</v>
      </c>
      <c r="O116" s="48">
        <f>(N116/$B$116)*100</f>
        <v>0</v>
      </c>
      <c r="P116" s="24"/>
    </row>
    <row r="117" spans="1:16" ht="15.75">
      <c r="A117" s="285" t="s">
        <v>170</v>
      </c>
      <c r="B117" s="44">
        <f>'CONSOLIDADO-ACUEDUCTOSRURALES1'!D83</f>
        <v>6</v>
      </c>
      <c r="C117" s="48">
        <f t="shared" si="10"/>
        <v>1.1764705882352942</v>
      </c>
      <c r="D117" s="29">
        <f>COUNTIFS(SUROESTE!A:A,"Pueblorrico",SUROESTE!S:S,"SIN RIESGO")</f>
        <v>0</v>
      </c>
      <c r="E117" s="48">
        <f>(D117/$B$117)*100</f>
        <v>0</v>
      </c>
      <c r="F117" s="29">
        <f>COUNTIFS(SUROESTE!A:A,"Pueblorrico",SUROESTE!S:S,"BAJO")</f>
        <v>0</v>
      </c>
      <c r="G117" s="48">
        <f>(F117/$B$117)*100</f>
        <v>0</v>
      </c>
      <c r="H117" s="29">
        <f>COUNTIFS(SUROESTE!A:A,"Pueblorrico",SUROESTE!S:S,"MEDIO")</f>
        <v>0</v>
      </c>
      <c r="I117" s="48">
        <f>(H117/$B$117)*100</f>
        <v>0</v>
      </c>
      <c r="J117" s="29">
        <f>COUNTIFS(SUROESTE!A:A,"Pueblorrico",SUROESTE!S:S,"ALTO")</f>
        <v>0</v>
      </c>
      <c r="K117" s="48">
        <f>(J117/$B$117)*100</f>
        <v>0</v>
      </c>
      <c r="L117" s="29">
        <f>COUNTIFS(SUROESTE!A:A,"Pueblorrico",SUROESTE!S:S,"INVIABLE SANITARIAMENTE")</f>
        <v>6</v>
      </c>
      <c r="M117" s="48">
        <f>(L117/$B$117)*100</f>
        <v>100</v>
      </c>
      <c r="N117" s="205">
        <f t="shared" si="11"/>
        <v>0</v>
      </c>
      <c r="O117" s="48">
        <f>(N117/$B$117)*100</f>
        <v>0</v>
      </c>
      <c r="P117" s="24"/>
    </row>
    <row r="118" spans="1:16" ht="15.75">
      <c r="A118" s="285" t="s">
        <v>171</v>
      </c>
      <c r="B118" s="44">
        <f>'CONSOLIDADO-ACUEDUCTOSRURALES1'!D84</f>
        <v>26</v>
      </c>
      <c r="C118" s="48">
        <f t="shared" si="10"/>
        <v>5.0980392156862742</v>
      </c>
      <c r="D118" s="29">
        <f>COUNTIFS(SUROESTE!A:A,"Salgar",SUROESTE!S:S,"SIN RIESGO")</f>
        <v>3</v>
      </c>
      <c r="E118" s="48">
        <f>(D118/$B$118)*100</f>
        <v>11.538461538461538</v>
      </c>
      <c r="F118" s="29">
        <f>COUNTIFS(SUROESTE!A:A,"Salgar",SUROESTE!S:S,"BAJO")</f>
        <v>0</v>
      </c>
      <c r="G118" s="48">
        <f>(F118/$B$118)*100</f>
        <v>0</v>
      </c>
      <c r="H118" s="29">
        <f>COUNTIFS(SUROESTE!A:A,"Salgar",SUROESTE!S:S,"MEDIO")</f>
        <v>4</v>
      </c>
      <c r="I118" s="48">
        <f>(H118/$B$118)*100</f>
        <v>15.384615384615385</v>
      </c>
      <c r="J118" s="29">
        <f>COUNTIFS(SUROESTE!A:A,"Salgar",SUROESTE!S:S,"ALTO")</f>
        <v>19</v>
      </c>
      <c r="K118" s="48">
        <f>(J118/$B$118)*100</f>
        <v>73.076923076923066</v>
      </c>
      <c r="L118" s="29">
        <f>COUNTIFS(SUROESTE!A:A,"Salgar",SUROESTE!S:S,"INVIABLE SANITARIAMENTE")</f>
        <v>0</v>
      </c>
      <c r="M118" s="48">
        <f>(L118/$B$118)*100</f>
        <v>0</v>
      </c>
      <c r="N118" s="205">
        <f t="shared" si="11"/>
        <v>0</v>
      </c>
      <c r="O118" s="48">
        <f>(N118/$B$118)*100</f>
        <v>0</v>
      </c>
      <c r="P118" s="24"/>
    </row>
    <row r="119" spans="1:16" ht="15.75">
      <c r="A119" s="285" t="s">
        <v>172</v>
      </c>
      <c r="B119" s="44">
        <f>'CONSOLIDADO-ACUEDUCTOSRURALES1'!D85</f>
        <v>41</v>
      </c>
      <c r="C119" s="48">
        <f t="shared" si="10"/>
        <v>8.0392156862745097</v>
      </c>
      <c r="D119" s="29">
        <f>COUNTIFS(SUROESTE!A:A,"Santa Bárbara",SUROESTE!S:S,"SIN RIESGO")</f>
        <v>17</v>
      </c>
      <c r="E119" s="48">
        <f>(D119/$B$119)*100</f>
        <v>41.463414634146339</v>
      </c>
      <c r="F119" s="29">
        <f>COUNTIFS(SUROESTE!A:A,"Santa Bárbara",SUROESTE!S:S,"BAJO")</f>
        <v>0</v>
      </c>
      <c r="G119" s="48">
        <f>(F119/$B$119)*100</f>
        <v>0</v>
      </c>
      <c r="H119" s="29">
        <f>COUNTIFS(SUROESTE!A:A,"Santa Bárbara",SUROESTE!S:S,"MEDIO")</f>
        <v>1</v>
      </c>
      <c r="I119" s="48">
        <f>(H119/$B$119)*100</f>
        <v>2.4390243902439024</v>
      </c>
      <c r="J119" s="29">
        <f>COUNTIFS(SUROESTE!A:A,"Santa Bárbara",SUROESTE!S:S,"ALTO")</f>
        <v>17</v>
      </c>
      <c r="K119" s="48">
        <f>(J119/$B$119)*100</f>
        <v>41.463414634146339</v>
      </c>
      <c r="L119" s="29">
        <f>COUNTIFS(SUROESTE!A:A,"Santa Bárbara",SUROESTE!S:S,"INVIABLE SANITARIAMENTE")</f>
        <v>6</v>
      </c>
      <c r="M119" s="48">
        <f>(L119/$B$119)*100</f>
        <v>14.634146341463413</v>
      </c>
      <c r="N119" s="205">
        <f t="shared" si="11"/>
        <v>0</v>
      </c>
      <c r="O119" s="48">
        <f>(N119/$B$119)*100</f>
        <v>0</v>
      </c>
      <c r="P119" s="24"/>
    </row>
    <row r="120" spans="1:16" ht="15.75">
      <c r="A120" s="285" t="s">
        <v>173</v>
      </c>
      <c r="B120" s="44">
        <f>'CONSOLIDADO-ACUEDUCTOSRURALES1'!D86</f>
        <v>33</v>
      </c>
      <c r="C120" s="48">
        <f t="shared" si="10"/>
        <v>6.4705882352941186</v>
      </c>
      <c r="D120" s="29">
        <f>COUNTIFS(SUROESTE!A:A,"Támesis",SUROESTE!S:S,"SIN RIESGO")</f>
        <v>1</v>
      </c>
      <c r="E120" s="48">
        <f>(D120/$B$120)*100</f>
        <v>3.0303030303030303</v>
      </c>
      <c r="F120" s="29">
        <f>COUNTIFS(SUROESTE!A:A,"Támesis",SUROESTE!S:S,"BAJO")</f>
        <v>4</v>
      </c>
      <c r="G120" s="48">
        <f>(F120/$B$120)*100</f>
        <v>12.121212121212121</v>
      </c>
      <c r="H120" s="29">
        <f>COUNTIFS(SUROESTE!A:A,"Támesis",SUROESTE!S:S,"MEDIO")</f>
        <v>3</v>
      </c>
      <c r="I120" s="48">
        <f>(H120/$B$120)*100</f>
        <v>9.0909090909090917</v>
      </c>
      <c r="J120" s="29">
        <f>COUNTIFS(SUROESTE!A:A,"Támesis",SUROESTE!S:S,"ALTO")</f>
        <v>18</v>
      </c>
      <c r="K120" s="48">
        <f>(J120/$B$120)*100</f>
        <v>54.54545454545454</v>
      </c>
      <c r="L120" s="29">
        <f>COUNTIFS(SUROESTE!A:A,"Támesis",SUROESTE!S:S,"INVIABLE SANITARIAMENTE")</f>
        <v>7</v>
      </c>
      <c r="M120" s="48">
        <f>(L120/$B$120)*100</f>
        <v>21.212121212121211</v>
      </c>
      <c r="N120" s="205">
        <f t="shared" si="11"/>
        <v>0</v>
      </c>
      <c r="O120" s="48">
        <f>(N120/$B$120)*100</f>
        <v>0</v>
      </c>
      <c r="P120" s="24"/>
    </row>
    <row r="121" spans="1:16" ht="15.75">
      <c r="A121" s="285" t="s">
        <v>174</v>
      </c>
      <c r="B121" s="44">
        <f>'CONSOLIDADO-ACUEDUCTOSRURALES1'!D87</f>
        <v>13</v>
      </c>
      <c r="C121" s="48">
        <f t="shared" si="10"/>
        <v>2.5490196078431371</v>
      </c>
      <c r="D121" s="29">
        <f>COUNTIFS(SUROESTE!A:A,"Tarso",SUROESTE!S:S,"SIN RIESGO")</f>
        <v>5</v>
      </c>
      <c r="E121" s="48">
        <f>(D121/$B$121)*100</f>
        <v>38.461538461538467</v>
      </c>
      <c r="F121" s="29">
        <f>COUNTIFS(SUROESTE!A:A,"Tarso",SUROESTE!S:S,"BAJO")</f>
        <v>1</v>
      </c>
      <c r="G121" s="48">
        <f>(F121/$B$121)*100</f>
        <v>7.6923076923076925</v>
      </c>
      <c r="H121" s="29">
        <f>COUNTIFS(SUROESTE!A:A,"Tarso",SUROESTE!S:S,"MEDIO")</f>
        <v>0</v>
      </c>
      <c r="I121" s="48">
        <f>(H121/$B$121)*100</f>
        <v>0</v>
      </c>
      <c r="J121" s="29">
        <f>COUNTIFS(SUROESTE!A:A,"Tarso",SUROESTE!S:S,"ALTO")</f>
        <v>3</v>
      </c>
      <c r="K121" s="48">
        <f>(J121/$B$121)*100</f>
        <v>23.076923076923077</v>
      </c>
      <c r="L121" s="29">
        <f>COUNTIFS(SUROESTE!A:A,"Tarso",SUROESTE!S:S,"INVIABLE SANITARIAMENTE")</f>
        <v>4</v>
      </c>
      <c r="M121" s="48">
        <f>(L121/$B$121)*100</f>
        <v>30.76923076923077</v>
      </c>
      <c r="N121" s="205">
        <f t="shared" si="11"/>
        <v>0</v>
      </c>
      <c r="O121" s="48">
        <f>(N121/$B$121)*100</f>
        <v>0</v>
      </c>
      <c r="P121" s="24"/>
    </row>
    <row r="122" spans="1:16" ht="15.75">
      <c r="A122" s="285" t="s">
        <v>175</v>
      </c>
      <c r="B122" s="44">
        <f>'CONSOLIDADO-ACUEDUCTOSRURALES1'!D88</f>
        <v>23</v>
      </c>
      <c r="C122" s="48">
        <f t="shared" si="10"/>
        <v>4.5098039215686274</v>
      </c>
      <c r="D122" s="29">
        <f>COUNTIFS(SUROESTE!A:A,"Titiribí",SUROESTE!S:S,"SIN RIESGO")</f>
        <v>1</v>
      </c>
      <c r="E122" s="48">
        <f>(D122/$B$122)*100</f>
        <v>4.3478260869565215</v>
      </c>
      <c r="F122" s="29">
        <f>COUNTIFS(SUROESTE!A:A,"Titiribí",SUROESTE!S:S,"BAJO")</f>
        <v>0</v>
      </c>
      <c r="G122" s="48">
        <f>(F122/$B$122)*100</f>
        <v>0</v>
      </c>
      <c r="H122" s="29">
        <f>COUNTIFS(SUROESTE!A:A,"Titiribí",SUROESTE!S:S,"MEDIO")</f>
        <v>0</v>
      </c>
      <c r="I122" s="48">
        <f>(H122/$B$122)*100</f>
        <v>0</v>
      </c>
      <c r="J122" s="29">
        <f>COUNTIFS(SUROESTE!A:A,"Titiribí",SUROESTE!S:S,"ALTO")</f>
        <v>1</v>
      </c>
      <c r="K122" s="48">
        <f>(J122/$B$122)*100</f>
        <v>4.3478260869565215</v>
      </c>
      <c r="L122" s="29">
        <f>COUNTIFS(SUROESTE!A:A,"Titiribí",SUROESTE!S:S,"INVIABLE SANITARIAMENTE")</f>
        <v>21</v>
      </c>
      <c r="M122" s="48">
        <f>(L122/$B$122)*100</f>
        <v>91.304347826086953</v>
      </c>
      <c r="N122" s="205">
        <f t="shared" si="11"/>
        <v>0</v>
      </c>
      <c r="O122" s="48">
        <f>(N122/$B$122)*100</f>
        <v>0</v>
      </c>
      <c r="P122" s="24"/>
    </row>
    <row r="123" spans="1:16" ht="15.75">
      <c r="A123" s="285" t="s">
        <v>176</v>
      </c>
      <c r="B123" s="44">
        <f>'CONSOLIDADO-ACUEDUCTOSRURALES1'!D89</f>
        <v>27</v>
      </c>
      <c r="C123" s="48">
        <f t="shared" si="10"/>
        <v>5.2941176470588234</v>
      </c>
      <c r="D123" s="29">
        <f>COUNTIFS(SUROESTE!A:A,"Urrao",SUROESTE!S:S,"SIN RIESGO")</f>
        <v>1</v>
      </c>
      <c r="E123" s="48">
        <f>(D123/$B$123)*100</f>
        <v>3.7037037037037033</v>
      </c>
      <c r="F123" s="29">
        <f>COUNTIFS(SUROESTE!A:A,"Urrao",SUROESTE!S:S,"BAJO")</f>
        <v>0</v>
      </c>
      <c r="G123" s="48">
        <f>(F123/$B$123)*100</f>
        <v>0</v>
      </c>
      <c r="H123" s="29">
        <f>COUNTIFS(SUROESTE!A:A,"Urrao",SUROESTE!S:S,"MEDIO")</f>
        <v>1</v>
      </c>
      <c r="I123" s="48">
        <f>(H123/$B$123)*100</f>
        <v>3.7037037037037033</v>
      </c>
      <c r="J123" s="29">
        <f>COUNTIFS(SUROESTE!A:A,"Urrao",SUROESTE!S:S,"ALTO")</f>
        <v>1</v>
      </c>
      <c r="K123" s="48">
        <f>(J123/$B$123)*100</f>
        <v>3.7037037037037033</v>
      </c>
      <c r="L123" s="29">
        <f>COUNTIFS(SUROESTE!A:A,"Urrao",SUROESTE!S:S,"INVIABLE SANITARIAMENTE")</f>
        <v>21</v>
      </c>
      <c r="M123" s="48">
        <f>(L123/$B$123)*100</f>
        <v>77.777777777777786</v>
      </c>
      <c r="N123" s="205">
        <f t="shared" si="11"/>
        <v>3</v>
      </c>
      <c r="O123" s="48">
        <f>(N123/$B$123)*100</f>
        <v>11.111111111111111</v>
      </c>
      <c r="P123" s="24"/>
    </row>
    <row r="124" spans="1:16" ht="15.75">
      <c r="A124" s="285" t="s">
        <v>177</v>
      </c>
      <c r="B124" s="44">
        <f>'CONSOLIDADO-ACUEDUCTOSRURALES1'!D90</f>
        <v>15</v>
      </c>
      <c r="C124" s="48">
        <f t="shared" si="10"/>
        <v>2.9411764705882351</v>
      </c>
      <c r="D124" s="29">
        <f>COUNTIFS(SUROESTE!A:A,"Valparaíso",SUROESTE!S:S,"SIN RIESGO")</f>
        <v>0</v>
      </c>
      <c r="E124" s="48">
        <f>(D124/$B$124)*100</f>
        <v>0</v>
      </c>
      <c r="F124" s="29">
        <f>COUNTIFS(SUROESTE!A:A,"Valparaíso",SUROESTE!S:S,"BAJO")</f>
        <v>0</v>
      </c>
      <c r="G124" s="48">
        <f>(F124/$B$124)*100</f>
        <v>0</v>
      </c>
      <c r="H124" s="29">
        <f>COUNTIFS(SUROESTE!A:A,"Valparaíso",SUROESTE!S:S,"MEDIO")</f>
        <v>0</v>
      </c>
      <c r="I124" s="48">
        <f>(H124/$B$124)*100</f>
        <v>0</v>
      </c>
      <c r="J124" s="29">
        <f>COUNTIFS(SUROESTE!A:A,"Valparaíso",SUROESTE!S:S,"ALTO")</f>
        <v>2</v>
      </c>
      <c r="K124" s="48">
        <f>(J124/$B$124)*100</f>
        <v>13.333333333333334</v>
      </c>
      <c r="L124" s="29">
        <f>COUNTIFS(SUROESTE!A:A,"Valparaíso",SUROESTE!S:S,"INVIABLE SANITARIAMENTE")</f>
        <v>13</v>
      </c>
      <c r="M124" s="48">
        <f>(L124/$B$124)*100</f>
        <v>86.666666666666671</v>
      </c>
      <c r="N124" s="205">
        <f t="shared" si="11"/>
        <v>0</v>
      </c>
      <c r="O124" s="48">
        <f>(N124/$B$124)*100</f>
        <v>0</v>
      </c>
      <c r="P124" s="24"/>
    </row>
    <row r="125" spans="1:16" ht="15.75">
      <c r="A125" s="285" t="s">
        <v>178</v>
      </c>
      <c r="B125" s="44">
        <f>'CONSOLIDADO-ACUEDUCTOSRURALES1'!D91</f>
        <v>11</v>
      </c>
      <c r="C125" s="48">
        <f t="shared" si="10"/>
        <v>2.1568627450980391</v>
      </c>
      <c r="D125" s="29">
        <f>COUNTIFS(SUROESTE!A:A,"Venecia",SUROESTE!S:S,"SIN RIESGO")</f>
        <v>2</v>
      </c>
      <c r="E125" s="48">
        <f>(D125/$B$125)*100</f>
        <v>18.181818181818183</v>
      </c>
      <c r="F125" s="29">
        <f>COUNTIFS(SUROESTE!A:A,"Venecia",SUROESTE!S:S,"BAJO")</f>
        <v>2</v>
      </c>
      <c r="G125" s="48">
        <f>(F125/$B$125)*100</f>
        <v>18.181818181818183</v>
      </c>
      <c r="H125" s="29">
        <f>COUNTIFS(SUROESTE!A:A,"Venecia",SUROESTE!S:S,"MEDIO")</f>
        <v>1</v>
      </c>
      <c r="I125" s="48">
        <f>(H125/$B$125)*100</f>
        <v>9.0909090909090917</v>
      </c>
      <c r="J125" s="29">
        <f>COUNTIFS(SUROESTE!A:A,"Venecia",SUROESTE!S:S,"ALTO")</f>
        <v>4</v>
      </c>
      <c r="K125" s="48">
        <f>(J125/$B$125)*100</f>
        <v>36.363636363636367</v>
      </c>
      <c r="L125" s="29">
        <f>COUNTIFS(SUROESTE!A:A,"Venecia",SUROESTE!S:S,"INVIABLE SANITARIAMENTE")</f>
        <v>2</v>
      </c>
      <c r="M125" s="48">
        <f>(L125/$B$125)*100</f>
        <v>18.181818181818183</v>
      </c>
      <c r="N125" s="205">
        <f t="shared" si="11"/>
        <v>0</v>
      </c>
      <c r="O125" s="48">
        <f>(N125/$B$125)*100</f>
        <v>0</v>
      </c>
      <c r="P125" s="24"/>
    </row>
    <row r="126" spans="1:16" ht="34.5" customHeight="1">
      <c r="A126" s="71" t="s">
        <v>220</v>
      </c>
      <c r="B126" s="67">
        <f>SUM(B103:B125)</f>
        <v>510</v>
      </c>
      <c r="C126" s="73">
        <f>SUM(C103:C125)</f>
        <v>100.00000000000001</v>
      </c>
      <c r="D126" s="72">
        <f>SUM(D103:D125)</f>
        <v>101</v>
      </c>
      <c r="E126" s="73">
        <f>(D126/$B$126)*100</f>
        <v>19.803921568627452</v>
      </c>
      <c r="F126" s="72">
        <f>SUM(F103:F125)</f>
        <v>9</v>
      </c>
      <c r="G126" s="73">
        <f>(F126/$B$126)*100</f>
        <v>1.7647058823529411</v>
      </c>
      <c r="H126" s="72">
        <f>SUM(H103:H125)</f>
        <v>18</v>
      </c>
      <c r="I126" s="73">
        <f>(H126/$B$126)*100</f>
        <v>3.5294117647058822</v>
      </c>
      <c r="J126" s="72">
        <f>SUM(J103:J125)</f>
        <v>132</v>
      </c>
      <c r="K126" s="73">
        <f>(J126/$B$126)*100</f>
        <v>25.882352941176475</v>
      </c>
      <c r="L126" s="72">
        <f>SUM(L103:L125)</f>
        <v>233</v>
      </c>
      <c r="M126" s="73">
        <f>(L126/$B$126)*100</f>
        <v>45.686274509803923</v>
      </c>
      <c r="N126" s="72">
        <f>SUM(N103:N125)</f>
        <v>17</v>
      </c>
      <c r="O126" s="73">
        <f>(N126/$B$126)*100</f>
        <v>3.3333333333333335</v>
      </c>
      <c r="P126" s="24"/>
    </row>
    <row r="127" spans="1:16">
      <c r="A127" s="33"/>
      <c r="B127" s="62"/>
      <c r="C127" s="33"/>
      <c r="D127" s="62"/>
      <c r="E127" s="33"/>
      <c r="F127" s="62"/>
      <c r="G127" s="33"/>
      <c r="H127" s="62"/>
      <c r="I127" s="33"/>
      <c r="J127" s="62"/>
      <c r="K127" s="33"/>
      <c r="L127" s="62"/>
      <c r="M127" s="33"/>
      <c r="N127" s="62"/>
      <c r="O127" s="33"/>
      <c r="P127" s="4"/>
    </row>
    <row r="128" spans="1:16">
      <c r="A128" s="33"/>
      <c r="B128" s="62"/>
      <c r="C128" s="33"/>
      <c r="D128" s="62"/>
      <c r="E128" s="33"/>
      <c r="F128" s="62"/>
      <c r="G128" s="33"/>
      <c r="H128" s="62"/>
      <c r="I128" s="33"/>
      <c r="J128" s="62"/>
      <c r="K128" s="33"/>
      <c r="L128" s="62"/>
      <c r="M128" s="33"/>
      <c r="N128" s="62"/>
      <c r="O128" s="33"/>
      <c r="P128" s="4"/>
    </row>
    <row r="129" spans="1:16">
      <c r="A129" s="33"/>
      <c r="B129" s="62"/>
      <c r="C129" s="33"/>
      <c r="D129" s="62"/>
      <c r="E129" s="33"/>
      <c r="F129" s="62"/>
      <c r="G129" s="33"/>
      <c r="H129" s="62"/>
      <c r="I129" s="33"/>
      <c r="J129" s="62"/>
      <c r="K129" s="33"/>
      <c r="L129" s="62"/>
      <c r="M129" s="33"/>
      <c r="N129" s="62"/>
      <c r="O129" s="33"/>
      <c r="P129" s="4"/>
    </row>
    <row r="130" spans="1:16" ht="23.25" customHeight="1">
      <c r="A130" s="730" t="s">
        <v>4466</v>
      </c>
      <c r="B130" s="730"/>
      <c r="C130" s="730"/>
      <c r="D130" s="730"/>
      <c r="E130" s="730"/>
      <c r="F130" s="730"/>
      <c r="G130" s="730"/>
      <c r="H130" s="730"/>
      <c r="I130" s="730"/>
      <c r="J130" s="730"/>
      <c r="K130" s="730"/>
      <c r="L130" s="730"/>
      <c r="M130" s="730"/>
      <c r="N130" s="730"/>
      <c r="O130" s="730"/>
      <c r="P130" s="24"/>
    </row>
    <row r="131" spans="1:16" ht="129.75" customHeight="1">
      <c r="A131" s="246" t="s">
        <v>11</v>
      </c>
      <c r="B131" s="68" t="s">
        <v>249</v>
      </c>
      <c r="C131" s="246" t="s">
        <v>101</v>
      </c>
      <c r="D131" s="249" t="s">
        <v>243</v>
      </c>
      <c r="E131" s="246" t="s">
        <v>101</v>
      </c>
      <c r="F131" s="250" t="s">
        <v>244</v>
      </c>
      <c r="G131" s="246" t="s">
        <v>101</v>
      </c>
      <c r="H131" s="251" t="s">
        <v>245</v>
      </c>
      <c r="I131" s="246" t="s">
        <v>101</v>
      </c>
      <c r="J131" s="252" t="s">
        <v>246</v>
      </c>
      <c r="K131" s="246" t="s">
        <v>101</v>
      </c>
      <c r="L131" s="253" t="s">
        <v>247</v>
      </c>
      <c r="M131" s="246" t="s">
        <v>101</v>
      </c>
      <c r="N131" s="68" t="s">
        <v>248</v>
      </c>
      <c r="O131" s="246" t="s">
        <v>101</v>
      </c>
      <c r="P131" s="24"/>
    </row>
    <row r="132" spans="1:16" ht="15.75">
      <c r="A132" s="285" t="s">
        <v>180</v>
      </c>
      <c r="B132" s="44">
        <f>+'CONSOLIDADO-ACUEDUCTOSRURALES1'!D94</f>
        <v>19</v>
      </c>
      <c r="C132" s="48">
        <f t="shared" ref="C132:C137" si="12">(B132/$B$138)*100</f>
        <v>33.333333333333329</v>
      </c>
      <c r="D132" s="29">
        <f>COUNTIFS('BAJO CAUCA'!A:A,"Caucasia",'BAJO CAUCA'!S:S,"SIN RIESGO")</f>
        <v>0</v>
      </c>
      <c r="E132" s="48">
        <f>(D132/$B$132)*100</f>
        <v>0</v>
      </c>
      <c r="F132" s="29">
        <f>COUNTIFS('BAJO CAUCA'!A:A,"Caucasia",'BAJO CAUCA'!S:S,"BAJO")</f>
        <v>0</v>
      </c>
      <c r="G132" s="48">
        <f>(F132/$B$132)*100</f>
        <v>0</v>
      </c>
      <c r="H132" s="29">
        <f>COUNTIFS('BAJO CAUCA'!A:A,"Caucasia",'BAJO CAUCA'!S:S,"MEDIO")</f>
        <v>0</v>
      </c>
      <c r="I132" s="48">
        <f>(H132/$B$132)*100</f>
        <v>0</v>
      </c>
      <c r="J132" s="29">
        <f>COUNTIFS('BAJO CAUCA'!A:A,"Caucasia",'BAJO CAUCA'!S:S,"ALTO")</f>
        <v>0</v>
      </c>
      <c r="K132" s="48">
        <f>(J132/$B$132)*100</f>
        <v>0</v>
      </c>
      <c r="L132" s="29">
        <f>COUNTIFS('BAJO CAUCA'!A:A,"Caucasia",'BAJO CAUCA'!S:S,"INVIABLE SANITARIAMENTE")</f>
        <v>17</v>
      </c>
      <c r="M132" s="48">
        <f>(L132/$B$132)*100</f>
        <v>89.473684210526315</v>
      </c>
      <c r="N132" s="205">
        <f t="shared" ref="N132:N137" si="13">B132-(D132+F132+H132+J132+L132)</f>
        <v>2</v>
      </c>
      <c r="O132" s="48">
        <f>(N132/$B$132)*100</f>
        <v>10.526315789473683</v>
      </c>
      <c r="P132" s="24"/>
    </row>
    <row r="133" spans="1:16" ht="15.75">
      <c r="A133" s="285" t="s">
        <v>181</v>
      </c>
      <c r="B133" s="44">
        <f>+'CONSOLIDADO-ACUEDUCTOSRURALES1'!D93</f>
        <v>7</v>
      </c>
      <c r="C133" s="48">
        <f t="shared" si="12"/>
        <v>12.280701754385964</v>
      </c>
      <c r="D133" s="29">
        <f>COUNTIFS('BAJO CAUCA'!A:A,"Caceres",'BAJO CAUCA'!S:S,"SIN RIESGO")</f>
        <v>0</v>
      </c>
      <c r="E133" s="48">
        <f>(D133/$B$133)*100</f>
        <v>0</v>
      </c>
      <c r="F133" s="29">
        <f>COUNTIFS('BAJO CAUCA'!A:A,"Caceres",'BAJO CAUCA'!S:S,"BAJO")</f>
        <v>0</v>
      </c>
      <c r="G133" s="48">
        <f>(F133/$B$133)*100</f>
        <v>0</v>
      </c>
      <c r="H133" s="29">
        <f>COUNTIFS('BAJO CAUCA'!A:A,"Caceres",'BAJO CAUCA'!S:S,"MEDIO")</f>
        <v>0</v>
      </c>
      <c r="I133" s="48">
        <f>(H133/$B$133)*100</f>
        <v>0</v>
      </c>
      <c r="J133" s="29">
        <f>COUNTIFS('BAJO CAUCA'!A:A,"Caceres",'BAJO CAUCA'!S:S,"ALTO")</f>
        <v>2</v>
      </c>
      <c r="K133" s="48">
        <f>(J133/$B$133)*100</f>
        <v>28.571428571428569</v>
      </c>
      <c r="L133" s="29">
        <f>COUNTIFS('BAJO CAUCA'!A:A,"Caceres",'BAJO CAUCA'!S:S,"INVIABLE SANITARIAMENTE")</f>
        <v>5</v>
      </c>
      <c r="M133" s="48">
        <f>(L133/$B$133)*100</f>
        <v>71.428571428571431</v>
      </c>
      <c r="N133" s="205">
        <f t="shared" si="13"/>
        <v>0</v>
      </c>
      <c r="O133" s="48">
        <f>(N133/$B$133)*100</f>
        <v>0</v>
      </c>
      <c r="P133" s="24"/>
    </row>
    <row r="134" spans="1:16" ht="15.75">
      <c r="A134" s="285" t="s">
        <v>182</v>
      </c>
      <c r="B134" s="44">
        <f>'CONSOLIDADO-ACUEDUCTOSRURALES1'!D95</f>
        <v>4</v>
      </c>
      <c r="C134" s="48">
        <f t="shared" si="12"/>
        <v>7.0175438596491224</v>
      </c>
      <c r="D134" s="29">
        <f>COUNTIFS('BAJO CAUCA'!A:A,"El Bagre",'BAJO CAUCA'!S:S,"SIN RIESGO")</f>
        <v>1</v>
      </c>
      <c r="E134" s="48">
        <f>(D134/$B$134)*100</f>
        <v>25</v>
      </c>
      <c r="F134" s="29">
        <f>COUNTIFS('BAJO CAUCA'!A:A,"El Bagre",'BAJO CAUCA'!S:S,"BAJO")</f>
        <v>1</v>
      </c>
      <c r="G134" s="48">
        <f>(F134/$B$134)*100</f>
        <v>25</v>
      </c>
      <c r="H134" s="29">
        <f>COUNTIFS('BAJO CAUCA'!A:A,"El Bagre",'BAJO CAUCA'!S:S,"MEDIO")</f>
        <v>0</v>
      </c>
      <c r="I134" s="48">
        <f>(H134/$B$134)*100</f>
        <v>0</v>
      </c>
      <c r="J134" s="29">
        <f>COUNTIFS('BAJO CAUCA'!A:A,"El Bagre",'BAJO CAUCA'!S:S,"ALTO")</f>
        <v>2</v>
      </c>
      <c r="K134" s="48">
        <f>(J134/$B$134)*100</f>
        <v>50</v>
      </c>
      <c r="L134" s="29">
        <f>COUNTIFS('BAJO CAUCA'!A:A,"El Bagre",'BAJO CAUCA'!S:S,"INVIABLE SANITARIAMENTE")</f>
        <v>0</v>
      </c>
      <c r="M134" s="48">
        <f>(L134/$B$134)*100</f>
        <v>0</v>
      </c>
      <c r="N134" s="205">
        <f t="shared" si="13"/>
        <v>0</v>
      </c>
      <c r="O134" s="48">
        <f>(N134/$B$134)*100</f>
        <v>0</v>
      </c>
      <c r="P134" s="24"/>
    </row>
    <row r="135" spans="1:16" ht="15.75">
      <c r="A135" s="285" t="s">
        <v>15</v>
      </c>
      <c r="B135" s="44">
        <f>'CONSOLIDADO-ACUEDUCTOSRURALES1'!D96</f>
        <v>3</v>
      </c>
      <c r="C135" s="48">
        <f t="shared" si="12"/>
        <v>5.2631578947368416</v>
      </c>
      <c r="D135" s="29">
        <f>COUNTIFS('BAJO CAUCA'!A:A,"Nechí",'BAJO CAUCA'!S:S,"SIN RIESGO")</f>
        <v>0</v>
      </c>
      <c r="E135" s="48">
        <f>(D135/$B$135)*100</f>
        <v>0</v>
      </c>
      <c r="F135" s="29">
        <f>COUNTIFS('BAJO CAUCA'!A:A,"Nechí",'BAJO CAUCA'!S:S,"BAJO")</f>
        <v>0</v>
      </c>
      <c r="G135" s="48">
        <f>(F135/$B$135)*100</f>
        <v>0</v>
      </c>
      <c r="H135" s="29">
        <f>COUNTIFS('BAJO CAUCA'!A:A,"Nechí",'BAJO CAUCA'!S:S,"MEDIO")</f>
        <v>0</v>
      </c>
      <c r="I135" s="48">
        <f>(H135/$B$135)*100</f>
        <v>0</v>
      </c>
      <c r="J135" s="29">
        <f>COUNTIFS('BAJO CAUCA'!A:A,"Nechí",'BAJO CAUCA'!S:S,"ALTO")</f>
        <v>0</v>
      </c>
      <c r="K135" s="48">
        <f>(J135/$B$135)*100</f>
        <v>0</v>
      </c>
      <c r="L135" s="29">
        <f>COUNTIFS('BAJO CAUCA'!A:A,"Nechí",'BAJO CAUCA'!S:S,"INVIABLE SANITARIAMENTE")</f>
        <v>2</v>
      </c>
      <c r="M135" s="48">
        <f>(L135/$B$135)*100</f>
        <v>66.666666666666657</v>
      </c>
      <c r="N135" s="205">
        <f t="shared" si="13"/>
        <v>1</v>
      </c>
      <c r="O135" s="48">
        <f>(N135/$B$135)*100</f>
        <v>33.333333333333329</v>
      </c>
      <c r="P135" s="24"/>
    </row>
    <row r="136" spans="1:16" ht="15.75">
      <c r="A136" s="285" t="s">
        <v>183</v>
      </c>
      <c r="B136" s="44">
        <f>'CONSOLIDADO-ACUEDUCTOSRURALES1'!D97</f>
        <v>9</v>
      </c>
      <c r="C136" s="48">
        <f t="shared" si="12"/>
        <v>15.789473684210526</v>
      </c>
      <c r="D136" s="29">
        <f>COUNTIFS('BAJO CAUCA'!A:A,"Tarazá",'BAJO CAUCA'!S:S,"SIN RIESGO")</f>
        <v>0</v>
      </c>
      <c r="E136" s="48">
        <f>(D136/$B$136)*100</f>
        <v>0</v>
      </c>
      <c r="F136" s="29">
        <f>COUNTIFS('BAJO CAUCA'!A:A,"Tarazá",'BAJO CAUCA'!S:S,"BAJO")</f>
        <v>0</v>
      </c>
      <c r="G136" s="48">
        <f>(F136/$B$136)*100</f>
        <v>0</v>
      </c>
      <c r="H136" s="29">
        <f>COUNTIFS('BAJO CAUCA'!A:A,"Tarazá",'BAJO CAUCA'!S:S,"MEDIO")</f>
        <v>1</v>
      </c>
      <c r="I136" s="48">
        <f>(H136/$B$136)*100</f>
        <v>11.111111111111111</v>
      </c>
      <c r="J136" s="29">
        <f>COUNTIFS('BAJO CAUCA'!A:A,"Tarazá",'BAJO CAUCA'!S:S,"ALTO")</f>
        <v>0</v>
      </c>
      <c r="K136" s="48">
        <f>(J136/$B$136)*100</f>
        <v>0</v>
      </c>
      <c r="L136" s="29">
        <f>COUNTIFS('BAJO CAUCA'!A:A,"Tarazá",'BAJO CAUCA'!S:S,"INVIABLE SANITARIAMENTE")</f>
        <v>8</v>
      </c>
      <c r="M136" s="48">
        <f>(L136/$B$136)*100</f>
        <v>88.888888888888886</v>
      </c>
      <c r="N136" s="205">
        <f t="shared" si="13"/>
        <v>0</v>
      </c>
      <c r="O136" s="48">
        <f>(N136/$B$136)*100</f>
        <v>0</v>
      </c>
      <c r="P136" s="24"/>
    </row>
    <row r="137" spans="1:16" ht="15.75">
      <c r="A137" s="285" t="s">
        <v>184</v>
      </c>
      <c r="B137" s="44">
        <f>'CONSOLIDADO-ACUEDUCTOSRURALES1'!D98</f>
        <v>15</v>
      </c>
      <c r="C137" s="48">
        <f t="shared" si="12"/>
        <v>26.315789473684209</v>
      </c>
      <c r="D137" s="29">
        <f>COUNTIFS('BAJO CAUCA'!A:A,"Zaragoza",'BAJO CAUCA'!S:S,"SIN RIESGO")</f>
        <v>0</v>
      </c>
      <c r="E137" s="48">
        <f>(D137/$B$137)*100</f>
        <v>0</v>
      </c>
      <c r="F137" s="29">
        <f>COUNTIFS('BAJO CAUCA'!A:A,"Zaragoza",'BAJO CAUCA'!S:S,"BAJO")</f>
        <v>0</v>
      </c>
      <c r="G137" s="48">
        <f>(F137/$B$137)*100</f>
        <v>0</v>
      </c>
      <c r="H137" s="29">
        <f>COUNTIFS('BAJO CAUCA'!A:A,"Zaragoza",'BAJO CAUCA'!S:S,"MEDIO")</f>
        <v>0</v>
      </c>
      <c r="I137" s="48">
        <f>(H137/$B$137)*100</f>
        <v>0</v>
      </c>
      <c r="J137" s="29">
        <f>COUNTIFS('BAJO CAUCA'!A:A,"Zaragoza",'BAJO CAUCA'!S:S,"ALTO")</f>
        <v>1</v>
      </c>
      <c r="K137" s="48">
        <f>(J137/$B$137)*100</f>
        <v>6.666666666666667</v>
      </c>
      <c r="L137" s="29">
        <f>COUNTIFS('BAJO CAUCA'!A:A,"Zaragoza",'BAJO CAUCA'!S:S,"INVIABLE SANITARIAMENTE")</f>
        <v>3</v>
      </c>
      <c r="M137" s="48">
        <f>(L137/$B$137)*100</f>
        <v>20</v>
      </c>
      <c r="N137" s="205">
        <f t="shared" si="13"/>
        <v>11</v>
      </c>
      <c r="O137" s="48">
        <f>(N137/$B$137)*100</f>
        <v>73.333333333333329</v>
      </c>
      <c r="P137" s="24"/>
    </row>
    <row r="138" spans="1:16" ht="22.5" customHeight="1">
      <c r="A138" s="71" t="s">
        <v>220</v>
      </c>
      <c r="B138" s="67">
        <f>SUM(B132:B137)</f>
        <v>57</v>
      </c>
      <c r="C138" s="73">
        <f>SUM(C132:C137)</f>
        <v>99.999999999999986</v>
      </c>
      <c r="D138" s="72">
        <f>SUM(D132:D137)</f>
        <v>1</v>
      </c>
      <c r="E138" s="73">
        <f>(D138/$B$138)*100</f>
        <v>1.7543859649122806</v>
      </c>
      <c r="F138" s="72">
        <f>SUM(F132:F137)</f>
        <v>1</v>
      </c>
      <c r="G138" s="73">
        <f>(F138/$B$138)*100</f>
        <v>1.7543859649122806</v>
      </c>
      <c r="H138" s="72">
        <f>SUM(H132:H137)</f>
        <v>1</v>
      </c>
      <c r="I138" s="73">
        <f>(H138/$B$138)*100</f>
        <v>1.7543859649122806</v>
      </c>
      <c r="J138" s="72">
        <f>SUM(J132:J137)</f>
        <v>5</v>
      </c>
      <c r="K138" s="73">
        <f>(J138/$B$138)*100</f>
        <v>8.7719298245614024</v>
      </c>
      <c r="L138" s="72">
        <f>SUM(L132:L137)</f>
        <v>35</v>
      </c>
      <c r="M138" s="73">
        <f>(L138/$B$138)*100</f>
        <v>61.403508771929829</v>
      </c>
      <c r="N138" s="72">
        <f>SUM(N132:N137)</f>
        <v>14</v>
      </c>
      <c r="O138" s="73">
        <f>(N138/$B$138)*100</f>
        <v>24.561403508771928</v>
      </c>
      <c r="P138" s="24"/>
    </row>
    <row r="139" spans="1:16">
      <c r="A139" s="33"/>
      <c r="B139" s="62"/>
      <c r="C139" s="33"/>
      <c r="D139" s="62"/>
      <c r="E139" s="33"/>
      <c r="F139" s="62"/>
      <c r="G139" s="33"/>
      <c r="H139" s="62"/>
      <c r="I139" s="33"/>
      <c r="J139" s="62"/>
      <c r="K139" s="33"/>
      <c r="L139" s="62"/>
      <c r="M139" s="33"/>
      <c r="N139" s="62"/>
      <c r="O139" s="33"/>
    </row>
    <row r="140" spans="1:16">
      <c r="A140" s="33"/>
      <c r="B140" s="62"/>
      <c r="C140" s="33"/>
      <c r="D140" s="62"/>
      <c r="E140" s="33"/>
      <c r="F140" s="62"/>
      <c r="G140" s="33"/>
      <c r="H140" s="62"/>
      <c r="I140" s="33"/>
      <c r="J140" s="62"/>
      <c r="K140" s="33"/>
      <c r="L140" s="62"/>
      <c r="M140" s="33"/>
      <c r="N140" s="62"/>
      <c r="O140" s="33"/>
    </row>
    <row r="141" spans="1:16" ht="23.25" customHeight="1">
      <c r="A141" s="730" t="s">
        <v>4469</v>
      </c>
      <c r="B141" s="730"/>
      <c r="C141" s="730"/>
      <c r="D141" s="730"/>
      <c r="E141" s="730"/>
      <c r="F141" s="730"/>
      <c r="G141" s="730"/>
      <c r="H141" s="730"/>
      <c r="I141" s="730"/>
      <c r="J141" s="730"/>
      <c r="K141" s="730"/>
      <c r="L141" s="730"/>
      <c r="M141" s="730"/>
      <c r="N141" s="730"/>
      <c r="O141" s="730"/>
    </row>
    <row r="142" spans="1:16" ht="129" customHeight="1">
      <c r="A142" s="246" t="s">
        <v>11</v>
      </c>
      <c r="B142" s="68" t="s">
        <v>249</v>
      </c>
      <c r="C142" s="246" t="s">
        <v>101</v>
      </c>
      <c r="D142" s="249" t="s">
        <v>243</v>
      </c>
      <c r="E142" s="246" t="s">
        <v>101</v>
      </c>
      <c r="F142" s="250" t="s">
        <v>244</v>
      </c>
      <c r="G142" s="246" t="s">
        <v>101</v>
      </c>
      <c r="H142" s="251" t="s">
        <v>245</v>
      </c>
      <c r="I142" s="246" t="s">
        <v>101</v>
      </c>
      <c r="J142" s="252" t="s">
        <v>246</v>
      </c>
      <c r="K142" s="246" t="s">
        <v>101</v>
      </c>
      <c r="L142" s="253" t="s">
        <v>247</v>
      </c>
      <c r="M142" s="246" t="s">
        <v>101</v>
      </c>
      <c r="N142" s="68" t="s">
        <v>248</v>
      </c>
      <c r="O142" s="246" t="s">
        <v>101</v>
      </c>
    </row>
    <row r="143" spans="1:16" ht="15.75">
      <c r="A143" s="58" t="s">
        <v>186</v>
      </c>
      <c r="B143" s="44">
        <f>'CONSOLIDADO-ACUEDUCTOSRURALES1'!D100</f>
        <v>9</v>
      </c>
      <c r="C143" s="48">
        <f t="shared" ref="C143:C148" si="14">(B143/$B$149)*100</f>
        <v>12</v>
      </c>
      <c r="D143" s="29">
        <f>COUNTIFS('MAGDALENA MEDIO'!A:A,"Caracolí",'MAGDALENA MEDIO'!S:S,"SIN RIESGO")</f>
        <v>0</v>
      </c>
      <c r="E143" s="48">
        <f>(D143/$B$143)*100</f>
        <v>0</v>
      </c>
      <c r="F143" s="29">
        <f>COUNTIFS('MAGDALENA MEDIO'!$A:$A,"Caracolí",'MAGDALENA MEDIO'!$S:$S,"BAJO")</f>
        <v>0</v>
      </c>
      <c r="G143" s="48">
        <f>(F143/$B$143)*100</f>
        <v>0</v>
      </c>
      <c r="H143" s="29">
        <f>COUNTIFS('MAGDALENA MEDIO'!$A:$A,"Caracolí",'MAGDALENA MEDIO'!$S:$S,"MEDIO")</f>
        <v>0</v>
      </c>
      <c r="I143" s="48">
        <f>(H143/$B$143)*100</f>
        <v>0</v>
      </c>
      <c r="J143" s="29">
        <f>COUNTIFS('MAGDALENA MEDIO'!$A:$A,"Caracolí",'MAGDALENA MEDIO'!$S:$S,"ALTO")</f>
        <v>1</v>
      </c>
      <c r="K143" s="48">
        <f>(J143/$B$143)*100</f>
        <v>11.111111111111111</v>
      </c>
      <c r="L143" s="29">
        <f>COUNTIFS('MAGDALENA MEDIO'!$A:$A,"Caracolí",'MAGDALENA MEDIO'!$S:$S,"INVIABLE SANITARIAMENTE")</f>
        <v>3</v>
      </c>
      <c r="M143" s="48">
        <f>(L143/$B$143)*100</f>
        <v>33.333333333333329</v>
      </c>
      <c r="N143" s="205">
        <f t="shared" ref="N143:N148" si="15">B143-(D143+F143+H143+J143+L143)</f>
        <v>5</v>
      </c>
      <c r="O143" s="48">
        <f>(N143/$B$143)*100</f>
        <v>55.555555555555557</v>
      </c>
    </row>
    <row r="144" spans="1:16" ht="15.75">
      <c r="A144" s="58" t="s">
        <v>187</v>
      </c>
      <c r="B144" s="44">
        <f>'CONSOLIDADO-ACUEDUCTOSRURALES1'!D101</f>
        <v>6</v>
      </c>
      <c r="C144" s="48">
        <f t="shared" si="14"/>
        <v>8</v>
      </c>
      <c r="D144" s="29">
        <f>COUNTIFS('MAGDALENA MEDIO'!A:A,"Maceo",'MAGDALENA MEDIO'!S:S,"SIN RIESGO")</f>
        <v>0</v>
      </c>
      <c r="E144" s="48">
        <f>(D144/$B$144)*100</f>
        <v>0</v>
      </c>
      <c r="F144" s="29">
        <f>COUNTIFS('MAGDALENA MEDIO'!$A:$A,"Maceo",'MAGDALENA MEDIO'!$S:$S,"BAJO")</f>
        <v>0</v>
      </c>
      <c r="G144" s="48">
        <f>(F144/$B$144)*100</f>
        <v>0</v>
      </c>
      <c r="H144" s="29">
        <f>COUNTIFS('MAGDALENA MEDIO'!$A:$A,"Maceo",'MAGDALENA MEDIO'!$S:$S,"MEDIO")</f>
        <v>0</v>
      </c>
      <c r="I144" s="48">
        <f>(H144/$B$144)*100</f>
        <v>0</v>
      </c>
      <c r="J144" s="29">
        <f>COUNTIFS('MAGDALENA MEDIO'!$A:$A,"Maceo",'MAGDALENA MEDIO'!$S:$S,"ALTO")</f>
        <v>5</v>
      </c>
      <c r="K144" s="48">
        <f>(J144/$B$144)*100</f>
        <v>83.333333333333343</v>
      </c>
      <c r="L144" s="29">
        <f>COUNTIFS('MAGDALENA MEDIO'!$A:$A,"Maceo",'MAGDALENA MEDIO'!$S:$S,"INVIABLE SANITARIAMENTE")</f>
        <v>1</v>
      </c>
      <c r="M144" s="48">
        <f>(L144/$B$144)*100</f>
        <v>16.666666666666664</v>
      </c>
      <c r="N144" s="205">
        <f t="shared" si="15"/>
        <v>0</v>
      </c>
      <c r="O144" s="48">
        <f>(N144/$B$144)*100</f>
        <v>0</v>
      </c>
    </row>
    <row r="145" spans="1:16" ht="15.75">
      <c r="A145" s="58" t="s">
        <v>188</v>
      </c>
      <c r="B145" s="44">
        <f>'CONSOLIDADO-ACUEDUCTOSRURALES1'!D102</f>
        <v>15</v>
      </c>
      <c r="C145" s="48">
        <f t="shared" si="14"/>
        <v>20</v>
      </c>
      <c r="D145" s="29">
        <f>COUNTIFS('MAGDALENA MEDIO'!A:A,"Puerto Berrío",'MAGDALENA MEDIO'!S:S,"SIN RIESGO")</f>
        <v>0</v>
      </c>
      <c r="E145" s="48">
        <f>(D145/$B$145)*100</f>
        <v>0</v>
      </c>
      <c r="F145" s="29">
        <f>COUNTIFS('MAGDALENA MEDIO'!$A:$A,"Puerto Berrío",'MAGDALENA MEDIO'!$S:$S,"BAJO")</f>
        <v>0</v>
      </c>
      <c r="G145" s="48">
        <f>(F145/$B$145)*100</f>
        <v>0</v>
      </c>
      <c r="H145" s="29">
        <f>COUNTIFS('MAGDALENA MEDIO'!$A:$A,"Puerto Berrío",'MAGDALENA MEDIO'!$S:$S,"MEDIO")</f>
        <v>1</v>
      </c>
      <c r="I145" s="48">
        <f>(H145/$B$145)*100</f>
        <v>6.666666666666667</v>
      </c>
      <c r="J145" s="29">
        <f>COUNTIFS('MAGDALENA MEDIO'!$A:$A,"Puerto Berrío",'MAGDALENA MEDIO'!$S:$S,"ALTO")</f>
        <v>6</v>
      </c>
      <c r="K145" s="48">
        <f>(J145/$B$145)*100</f>
        <v>40</v>
      </c>
      <c r="L145" s="29">
        <f>COUNTIFS('MAGDALENA MEDIO'!$A:$A,"Puerto Berrío",'MAGDALENA MEDIO'!$S:$S,"INVIABLE SANITARIAMENTE")</f>
        <v>5</v>
      </c>
      <c r="M145" s="48">
        <f>(L145/$B$145)*100</f>
        <v>33.333333333333329</v>
      </c>
      <c r="N145" s="205">
        <f t="shared" si="15"/>
        <v>3</v>
      </c>
      <c r="O145" s="48">
        <f>(N145/$B$145)*100</f>
        <v>20</v>
      </c>
    </row>
    <row r="146" spans="1:16" ht="15.75">
      <c r="A146" s="58" t="s">
        <v>189</v>
      </c>
      <c r="B146" s="44">
        <f>'CONSOLIDADO-ACUEDUCTOSRURALES1'!D103</f>
        <v>7</v>
      </c>
      <c r="C146" s="48">
        <f t="shared" si="14"/>
        <v>9.3333333333333339</v>
      </c>
      <c r="D146" s="29">
        <f>COUNTIFS('MAGDALENA MEDIO'!A:A,"Puerto Nare",'MAGDALENA MEDIO'!S:S,"SIN RIESGO")</f>
        <v>5</v>
      </c>
      <c r="E146" s="48">
        <f>(D146/$B$146)*100</f>
        <v>71.428571428571431</v>
      </c>
      <c r="F146" s="29">
        <f>COUNTIFS('MAGDALENA MEDIO'!$A:$A,"Puerto Nare",'MAGDALENA MEDIO'!$S:$S,"BAJO")</f>
        <v>0</v>
      </c>
      <c r="G146" s="48">
        <f>(F146/$B$146)*100</f>
        <v>0</v>
      </c>
      <c r="H146" s="29">
        <f>COUNTIFS('MAGDALENA MEDIO'!$A:$A,"Puerto Nare",'MAGDALENA MEDIO'!$S:$S,"MEDIO")</f>
        <v>0</v>
      </c>
      <c r="I146" s="48">
        <f>(H146/$B$146)*100</f>
        <v>0</v>
      </c>
      <c r="J146" s="29">
        <f>COUNTIFS('MAGDALENA MEDIO'!$A:$A,"Puerto Nare",'MAGDALENA MEDIO'!$S:$S,"ALTO")</f>
        <v>0</v>
      </c>
      <c r="K146" s="48">
        <f>(J146/$B$146)*100</f>
        <v>0</v>
      </c>
      <c r="L146" s="29">
        <f>COUNTIFS('MAGDALENA MEDIO'!$A:$A,"Puerto Nare",'MAGDALENA MEDIO'!$S:$S,"INVIABLE SANITARIAMENTE")</f>
        <v>2</v>
      </c>
      <c r="M146" s="48">
        <f>(L146/$B$146)*100</f>
        <v>28.571428571428569</v>
      </c>
      <c r="N146" s="205">
        <f t="shared" si="15"/>
        <v>0</v>
      </c>
      <c r="O146" s="48">
        <f>(N146/$B$146)*100</f>
        <v>0</v>
      </c>
    </row>
    <row r="147" spans="1:16" ht="15.75">
      <c r="A147" s="58" t="s">
        <v>54</v>
      </c>
      <c r="B147" s="44">
        <f>'CONSOLIDADO-ACUEDUCTOSRURALES1'!D104</f>
        <v>11</v>
      </c>
      <c r="C147" s="48">
        <f t="shared" si="14"/>
        <v>14.666666666666666</v>
      </c>
      <c r="D147" s="29">
        <f>COUNTIFS('MAGDALENA MEDIO'!A:A,"Puerto Triunfo",'MAGDALENA MEDIO'!S:S,"SIN RIESGO")</f>
        <v>1</v>
      </c>
      <c r="E147" s="48">
        <f>(D147/$B$147)*100</f>
        <v>9.0909090909090917</v>
      </c>
      <c r="F147" s="29">
        <f>COUNTIFS('MAGDALENA MEDIO'!$A:$A,"Puerto Triunfo",'MAGDALENA MEDIO'!$S:$S,"BAJO")</f>
        <v>2</v>
      </c>
      <c r="G147" s="48">
        <f>(F147/$B$147)*100</f>
        <v>18.181818181818183</v>
      </c>
      <c r="H147" s="29">
        <f>COUNTIFS('MAGDALENA MEDIO'!$A:$A,"Puerto Truinfo",'MAGDALENA MEDIO'!$S:$S,"MEDIO")</f>
        <v>0</v>
      </c>
      <c r="I147" s="48">
        <f>(H147/$B$147)*100</f>
        <v>0</v>
      </c>
      <c r="J147" s="29">
        <f>COUNTIFS('MAGDALENA MEDIO'!$A:$A,"Puerto Triunfo",'MAGDALENA MEDIO'!$S:$S,"ALTO")</f>
        <v>4</v>
      </c>
      <c r="K147" s="48">
        <f>(J147/$B$147)*100</f>
        <v>36.363636363636367</v>
      </c>
      <c r="L147" s="29">
        <f>COUNTIFS('MAGDALENA MEDIO'!$A:$A,"Puerto Triunfo",'MAGDALENA MEDIO'!$S:$S,"INVIABLE SANITARIAMENTE")</f>
        <v>3</v>
      </c>
      <c r="M147" s="48">
        <f>(L147/$B$147)*100</f>
        <v>27.27272727272727</v>
      </c>
      <c r="N147" s="205">
        <f t="shared" si="15"/>
        <v>1</v>
      </c>
      <c r="O147" s="48">
        <f>(N147/$B$147)*100</f>
        <v>9.0909090909090917</v>
      </c>
    </row>
    <row r="148" spans="1:16" ht="15.75">
      <c r="A148" s="58" t="s">
        <v>190</v>
      </c>
      <c r="B148" s="44">
        <f>'CONSOLIDADO-ACUEDUCTOSRURALES1'!D105</f>
        <v>27</v>
      </c>
      <c r="C148" s="48">
        <f t="shared" si="14"/>
        <v>36</v>
      </c>
      <c r="D148" s="29">
        <f>COUNTIFS('MAGDALENA MEDIO'!A:A,"Yondó",'MAGDALENA MEDIO'!S:S,"SIN RIESGO")</f>
        <v>8</v>
      </c>
      <c r="E148" s="48">
        <f>(D148/$B$148)*100</f>
        <v>29.629629629629626</v>
      </c>
      <c r="F148" s="29">
        <f>COUNTIFS('MAGDALENA MEDIO'!$A:$A,"Yondó",'MAGDALENA MEDIO'!$S:$S,"BAJO")</f>
        <v>0</v>
      </c>
      <c r="G148" s="48">
        <f>(F148/$B$148)*100</f>
        <v>0</v>
      </c>
      <c r="H148" s="29">
        <f>COUNTIFS('MAGDALENA MEDIO'!$A:$A,"Yondó",'MAGDALENA MEDIO'!$S:$S,"MEDIO")</f>
        <v>2</v>
      </c>
      <c r="I148" s="48">
        <f>(H148/$B$148)*100</f>
        <v>7.4074074074074066</v>
      </c>
      <c r="J148" s="29">
        <f>COUNTIFS('MAGDALENA MEDIO'!$A:$A,"Yondó",'MAGDALENA MEDIO'!$S:$S,"ALTO")</f>
        <v>8</v>
      </c>
      <c r="K148" s="48">
        <f>(J148/$B$148)*100</f>
        <v>29.629629629629626</v>
      </c>
      <c r="L148" s="29">
        <f>COUNTIFS('MAGDALENA MEDIO'!$A:$A,"Yondó",'MAGDALENA MEDIO'!$S:$S,"INVIABLE SANITARIAMENTE")</f>
        <v>5</v>
      </c>
      <c r="M148" s="48">
        <f>(L148/$B$148)*100</f>
        <v>18.518518518518519</v>
      </c>
      <c r="N148" s="205">
        <f t="shared" si="15"/>
        <v>4</v>
      </c>
      <c r="O148" s="48">
        <f>(N148/$B$148)*100</f>
        <v>14.814814814814813</v>
      </c>
    </row>
    <row r="149" spans="1:16" ht="23.25" customHeight="1">
      <c r="A149" s="71" t="s">
        <v>220</v>
      </c>
      <c r="B149" s="67">
        <f>SUM(B143:B148)</f>
        <v>75</v>
      </c>
      <c r="C149" s="73">
        <f>SUM(C143:C148)</f>
        <v>100</v>
      </c>
      <c r="D149" s="72">
        <f>SUM(D143:D148)</f>
        <v>14</v>
      </c>
      <c r="E149" s="73">
        <f>(D149/$B$149)*100</f>
        <v>18.666666666666668</v>
      </c>
      <c r="F149" s="72">
        <f>SUM(F143:F148)</f>
        <v>2</v>
      </c>
      <c r="G149" s="73">
        <f>(F149/$B$149)*100</f>
        <v>2.666666666666667</v>
      </c>
      <c r="H149" s="72">
        <f>SUM(H143:H148)</f>
        <v>3</v>
      </c>
      <c r="I149" s="73">
        <f>(H149/$B$149)*100</f>
        <v>4</v>
      </c>
      <c r="J149" s="72">
        <f>SUM(J143:J148)</f>
        <v>24</v>
      </c>
      <c r="K149" s="73">
        <f>(J149/$B$149)*100</f>
        <v>32</v>
      </c>
      <c r="L149" s="72">
        <f>SUM(L143:L148)</f>
        <v>19</v>
      </c>
      <c r="M149" s="73">
        <f>(L149/$B$149)*100</f>
        <v>25.333333333333336</v>
      </c>
      <c r="N149" s="72">
        <f>SUM(N143:N148)</f>
        <v>13</v>
      </c>
      <c r="O149" s="73">
        <f>(N149/$B$149)*100</f>
        <v>17.333333333333336</v>
      </c>
      <c r="P149" s="23"/>
    </row>
    <row r="150" spans="1:16">
      <c r="A150" s="33"/>
      <c r="B150" s="62"/>
      <c r="C150" s="33"/>
      <c r="D150" s="62"/>
      <c r="E150" s="33"/>
      <c r="F150" s="62"/>
      <c r="G150" s="33"/>
      <c r="H150" s="62"/>
      <c r="I150" s="33"/>
      <c r="J150" s="62"/>
      <c r="K150" s="33"/>
      <c r="L150" s="62"/>
      <c r="M150" s="33"/>
      <c r="N150" s="62"/>
      <c r="O150" s="33"/>
    </row>
    <row r="151" spans="1:16">
      <c r="A151" s="33"/>
      <c r="B151" s="62"/>
      <c r="C151" s="33"/>
      <c r="D151" s="62"/>
      <c r="E151" s="33"/>
      <c r="F151" s="62"/>
      <c r="G151" s="33"/>
      <c r="H151" s="62"/>
      <c r="I151" s="33"/>
      <c r="J151" s="62"/>
      <c r="K151" s="33"/>
      <c r="L151" s="62"/>
      <c r="M151" s="33"/>
      <c r="N151" s="62"/>
      <c r="O151" s="33"/>
    </row>
    <row r="152" spans="1:16">
      <c r="A152" s="33"/>
      <c r="B152" s="62"/>
      <c r="C152" s="33"/>
      <c r="D152" s="62"/>
      <c r="E152" s="33"/>
      <c r="F152" s="62"/>
      <c r="G152" s="33"/>
      <c r="H152" s="62"/>
      <c r="I152" s="33"/>
      <c r="J152" s="62"/>
      <c r="K152" s="33"/>
      <c r="L152" s="62"/>
      <c r="M152" s="33"/>
      <c r="N152" s="62"/>
      <c r="O152" s="33"/>
    </row>
    <row r="153" spans="1:16" ht="24" customHeight="1">
      <c r="A153" s="731" t="s">
        <v>4468</v>
      </c>
      <c r="B153" s="731"/>
      <c r="C153" s="731"/>
      <c r="D153" s="731"/>
      <c r="E153" s="731"/>
      <c r="F153" s="731"/>
      <c r="G153" s="731"/>
      <c r="H153" s="731"/>
      <c r="I153" s="731"/>
      <c r="J153" s="731"/>
      <c r="K153" s="731"/>
      <c r="L153" s="731"/>
      <c r="M153" s="731"/>
      <c r="N153" s="731"/>
      <c r="O153" s="731"/>
    </row>
    <row r="154" spans="1:16" ht="135" customHeight="1">
      <c r="A154" s="246" t="s">
        <v>11</v>
      </c>
      <c r="B154" s="68" t="s">
        <v>249</v>
      </c>
      <c r="C154" s="246" t="s">
        <v>101</v>
      </c>
      <c r="D154" s="249" t="s">
        <v>243</v>
      </c>
      <c r="E154" s="246" t="s">
        <v>101</v>
      </c>
      <c r="F154" s="250" t="s">
        <v>244</v>
      </c>
      <c r="G154" s="246" t="s">
        <v>101</v>
      </c>
      <c r="H154" s="251" t="s">
        <v>245</v>
      </c>
      <c r="I154" s="246" t="s">
        <v>101</v>
      </c>
      <c r="J154" s="252" t="s">
        <v>246</v>
      </c>
      <c r="K154" s="246" t="s">
        <v>101</v>
      </c>
      <c r="L154" s="253" t="s">
        <v>247</v>
      </c>
      <c r="M154" s="246" t="s">
        <v>101</v>
      </c>
      <c r="N154" s="68" t="s">
        <v>248</v>
      </c>
      <c r="O154" s="246" t="s">
        <v>101</v>
      </c>
    </row>
    <row r="155" spans="1:16" ht="15.75">
      <c r="A155" s="58" t="s">
        <v>192</v>
      </c>
      <c r="B155" s="29">
        <f>'CONSOLIDADO-ACUEDUCTOSRURALES1'!D107</f>
        <v>6</v>
      </c>
      <c r="C155" s="48">
        <f>(B155/$B$165)*100</f>
        <v>5.2173913043478262</v>
      </c>
      <c r="D155" s="29">
        <f>COUNTIFS(NORDESTE!$A:$A,"Amalfi",NORDESTE!$S:$S,"SIN RIESGO")</f>
        <v>0</v>
      </c>
      <c r="E155" s="48">
        <f>(D155/$B$155)*100</f>
        <v>0</v>
      </c>
      <c r="F155" s="29">
        <f>COUNTIFS(NORDESTE!$A:$A,"Amalfi",NORDESTE!$S:$S,"BAJO")</f>
        <v>0</v>
      </c>
      <c r="G155" s="48">
        <f>(F155/$B$155)*100</f>
        <v>0</v>
      </c>
      <c r="H155" s="29">
        <f>COUNTIFS(NORDESTE!$A:$A,"Amalfi",NORDESTE!$S:$S,"MEDIO")</f>
        <v>0</v>
      </c>
      <c r="I155" s="48">
        <f>(H155/$B$155)*100</f>
        <v>0</v>
      </c>
      <c r="J155" s="29">
        <f>COUNTIFS(NORDESTE!$A:$A,"Amalfi",NORDESTE!$S:$S,"ALTO")</f>
        <v>0</v>
      </c>
      <c r="K155" s="48">
        <f>(J155/$B$155)*100</f>
        <v>0</v>
      </c>
      <c r="L155" s="29">
        <f>COUNTIFS(NORDESTE!$A:$A,"Amalfi",NORDESTE!$S:$S,"INVIABLE SANITARIAMENTE")</f>
        <v>3</v>
      </c>
      <c r="M155" s="48">
        <f>(L155/$B$155)*100</f>
        <v>50</v>
      </c>
      <c r="N155" s="29">
        <f>B155-(L155+J155+H155+F155+D155)</f>
        <v>3</v>
      </c>
      <c r="O155" s="48">
        <f>(N155/$B$155)*100</f>
        <v>50</v>
      </c>
    </row>
    <row r="156" spans="1:16" ht="15.75">
      <c r="A156" s="58" t="s">
        <v>193</v>
      </c>
      <c r="B156" s="29">
        <f>'CONSOLIDADO-ACUEDUCTOSRURALES1'!D108</f>
        <v>3</v>
      </c>
      <c r="C156" s="48">
        <f t="shared" ref="C156:C164" si="16">(B156/$B$165)*100</f>
        <v>2.6086956521739131</v>
      </c>
      <c r="D156" s="29">
        <f>COUNTIFS(NORDESTE!$A:$A,"Anorí",NORDESTE!$S:$S,"SIN RIESGO")</f>
        <v>0</v>
      </c>
      <c r="E156" s="48">
        <f>(D156/$B$156)*100</f>
        <v>0</v>
      </c>
      <c r="F156" s="29">
        <f>COUNTIFS(NORDESTE!$A:$A,"Anorí",NORDESTE!$S:$S,"BAJO")</f>
        <v>0</v>
      </c>
      <c r="G156" s="48">
        <f>(F156/$B$156)*100</f>
        <v>0</v>
      </c>
      <c r="H156" s="29">
        <f>COUNTIFS(NORDESTE!$A:$A,"Anorí",NORDESTE!$S:$S,"MEDIO")</f>
        <v>1</v>
      </c>
      <c r="I156" s="48">
        <f>(H156/$B$156)*100</f>
        <v>33.333333333333329</v>
      </c>
      <c r="J156" s="29">
        <f>COUNTIFS(NORDESTE!$A:$A,"Anorí",NORDESTE!$S:$S,"ALTO")</f>
        <v>2</v>
      </c>
      <c r="K156" s="48">
        <f>(J156/$B$156)*100</f>
        <v>66.666666666666657</v>
      </c>
      <c r="L156" s="29">
        <f>COUNTIFS(NORDESTE!$A:$A,"Anorí",NORDESTE!$S:$S,"INVIABLE SANITARIAMENTE")</f>
        <v>0</v>
      </c>
      <c r="M156" s="48">
        <f>(L156/$B$156)*100</f>
        <v>0</v>
      </c>
      <c r="N156" s="29">
        <f>B156-(L156+J156+H156+F156+D156)</f>
        <v>0</v>
      </c>
      <c r="O156" s="48">
        <f>(N156/$B$156)*100</f>
        <v>0</v>
      </c>
    </row>
    <row r="157" spans="1:16" ht="15.75">
      <c r="A157" s="58" t="s">
        <v>194</v>
      </c>
      <c r="B157" s="29">
        <f>'CONSOLIDADO-ACUEDUCTOSRURALES1'!D109</f>
        <v>3</v>
      </c>
      <c r="C157" s="48">
        <f t="shared" si="16"/>
        <v>2.6086956521739131</v>
      </c>
      <c r="D157" s="29">
        <f>COUNTIFS(NORDESTE!$A:$A,"Cisneros",NORDESTE!$S:$S,"SIN RIESGO")</f>
        <v>0</v>
      </c>
      <c r="E157" s="48">
        <f>(D157/$B$157)*100</f>
        <v>0</v>
      </c>
      <c r="F157" s="29">
        <f>COUNTIFS(NORDESTE!$A:$A,"Cisneros",NORDESTE!$S:$S,"BAJO")</f>
        <v>0</v>
      </c>
      <c r="G157" s="48">
        <f>(F157/$B$157)*100</f>
        <v>0</v>
      </c>
      <c r="H157" s="29">
        <f>COUNTIFS(NORDESTE!$A:$A,"Cisneros",NORDESTE!$S:$S,"MEDIO")</f>
        <v>0</v>
      </c>
      <c r="I157" s="48">
        <f>(H157/$B$157)*100</f>
        <v>0</v>
      </c>
      <c r="J157" s="29">
        <f>COUNTIFS(NORDESTE!$A:$A,"Cisneros",NORDESTE!$S:$S,"ALTO")</f>
        <v>0</v>
      </c>
      <c r="K157" s="48">
        <f>(J157/$B$157)*100</f>
        <v>0</v>
      </c>
      <c r="L157" s="29">
        <f>COUNTIFS(NORDESTE!$A:$A,"Cisneros",NORDESTE!$S:$S,"INVIABLE SANITARIAMENTE")</f>
        <v>3</v>
      </c>
      <c r="M157" s="48">
        <f>(L157/$B$157)*100</f>
        <v>100</v>
      </c>
      <c r="N157" s="205">
        <f t="shared" ref="N157:N164" si="17">B157-(L157+J157+H157+F157+D157)</f>
        <v>0</v>
      </c>
      <c r="O157" s="48">
        <f>(N157/$B$157)*100</f>
        <v>0</v>
      </c>
    </row>
    <row r="158" spans="1:16" ht="15.75">
      <c r="A158" s="58" t="s">
        <v>195</v>
      </c>
      <c r="B158" s="29">
        <f>'CONSOLIDADO-ACUEDUCTOSRURALES1'!D110</f>
        <v>7</v>
      </c>
      <c r="C158" s="48">
        <f t="shared" si="16"/>
        <v>6.0869565217391308</v>
      </c>
      <c r="D158" s="29">
        <f>COUNTIFS(NORDESTE!$A:$A,"Remedios",NORDESTE!$S:$S,"SIN RIESGO")</f>
        <v>0</v>
      </c>
      <c r="E158" s="48">
        <f>(D158/$B$158)*100</f>
        <v>0</v>
      </c>
      <c r="F158" s="29">
        <f>COUNTIFS(NORDESTE!$A:$A,"Remedios",NORDESTE!$S:$S,"BAJO")</f>
        <v>0</v>
      </c>
      <c r="G158" s="48">
        <f>(F158/$B$158)*100</f>
        <v>0</v>
      </c>
      <c r="H158" s="29">
        <f>COUNTIFS(NORDESTE!$A:$A,"Remedios",NORDESTE!$S:$S,"MEDIO")</f>
        <v>0</v>
      </c>
      <c r="I158" s="48">
        <f>(H158/$B$158)*100</f>
        <v>0</v>
      </c>
      <c r="J158" s="29">
        <f>COUNTIFS(NORDESTE!$A:$A,"Remedios",NORDESTE!$S:$S,"ALTO")</f>
        <v>0</v>
      </c>
      <c r="K158" s="48">
        <f>(J158/$B$158)*100</f>
        <v>0</v>
      </c>
      <c r="L158" s="29">
        <f>COUNTIFS(NORDESTE!$A:$A,"Remedios",NORDESTE!$S:$S,"INVIABLE SANITARIAMENTE")</f>
        <v>4</v>
      </c>
      <c r="M158" s="48">
        <f>(L158/$B$158)*100</f>
        <v>57.142857142857139</v>
      </c>
      <c r="N158" s="205">
        <f t="shared" si="17"/>
        <v>3</v>
      </c>
      <c r="O158" s="48">
        <f>(N158/$B$158)*100</f>
        <v>42.857142857142854</v>
      </c>
    </row>
    <row r="159" spans="1:16" ht="15.75">
      <c r="A159" s="58" t="s">
        <v>196</v>
      </c>
      <c r="B159" s="29">
        <f>'CONSOLIDADO-ACUEDUCTOSRURALES1'!D111</f>
        <v>34</v>
      </c>
      <c r="C159" s="48">
        <f t="shared" si="16"/>
        <v>29.565217391304348</v>
      </c>
      <c r="D159" s="29">
        <f>COUNTIFS(NORDESTE!$A:$A,"San Roque",NORDESTE!$S:$S,"SIN RIESGO")</f>
        <v>0</v>
      </c>
      <c r="E159" s="48">
        <f>(D159/$B$159)*100</f>
        <v>0</v>
      </c>
      <c r="F159" s="29">
        <f>COUNTIFS(NORDESTE!$A:$A,"San Roque",NORDESTE!$S:$S,"BAJO")</f>
        <v>0</v>
      </c>
      <c r="G159" s="48">
        <f>(F159/$B$159)*100</f>
        <v>0</v>
      </c>
      <c r="H159" s="29">
        <f>COUNTIFS(NORDESTE!$A:$A,"San Roque",NORDESTE!$S:$S,"MEDIO")</f>
        <v>0</v>
      </c>
      <c r="I159" s="48">
        <f>(H159/$B$159)*100</f>
        <v>0</v>
      </c>
      <c r="J159" s="29">
        <f>COUNTIFS(NORDESTE!$A:$A,"San Roque",NORDESTE!$S:$S,"ALTO")</f>
        <v>1</v>
      </c>
      <c r="K159" s="48">
        <f>(J159/$B$159)*100</f>
        <v>2.9411764705882351</v>
      </c>
      <c r="L159" s="29">
        <f>COUNTIFS(NORDESTE!$A:$A,"San Roque",NORDESTE!$S:$S,"INVIABLE SANITARIAMENTE")</f>
        <v>33</v>
      </c>
      <c r="M159" s="48">
        <f>(L159/$B$159)*100</f>
        <v>97.058823529411768</v>
      </c>
      <c r="N159" s="205">
        <f t="shared" si="17"/>
        <v>0</v>
      </c>
      <c r="O159" s="48">
        <f>(N159/$B$159)*100</f>
        <v>0</v>
      </c>
    </row>
    <row r="160" spans="1:16" ht="15.75">
      <c r="A160" s="58" t="s">
        <v>7</v>
      </c>
      <c r="B160" s="29">
        <f>'CONSOLIDADO-ACUEDUCTOSRURALES1'!D112</f>
        <v>18</v>
      </c>
      <c r="C160" s="48">
        <f t="shared" si="16"/>
        <v>15.65217391304348</v>
      </c>
      <c r="D160" s="29">
        <f>COUNTIFS(NORDESTE!$A:$A,"Santo Domingo",NORDESTE!$S:$S,"SIN RIESGO")</f>
        <v>4</v>
      </c>
      <c r="E160" s="48">
        <f>(D160/$B$160)*100</f>
        <v>22.222222222222221</v>
      </c>
      <c r="F160" s="29">
        <f>COUNTIFS(NORDESTE!$A:$A,"Santo Domingo",NORDESTE!$S:$S,"BAJO")</f>
        <v>0</v>
      </c>
      <c r="G160" s="48">
        <f>(F160/$B$160)*100</f>
        <v>0</v>
      </c>
      <c r="H160" s="29">
        <f>COUNTIFS(NORDESTE!$A:$A,"Santo Domingo",NORDESTE!$S:$S,"MEDIO")</f>
        <v>0</v>
      </c>
      <c r="I160" s="48">
        <f>(H160/$B$160)*100</f>
        <v>0</v>
      </c>
      <c r="J160" s="29">
        <f>COUNTIFS(NORDESTE!$A:$A,"Santo Domingo",NORDESTE!$S:$S,"ALTO")</f>
        <v>1</v>
      </c>
      <c r="K160" s="48">
        <f>(J160/$B$160)*100</f>
        <v>5.5555555555555554</v>
      </c>
      <c r="L160" s="29">
        <f>COUNTIFS(NORDESTE!$A:$A,"Santo Domingo",NORDESTE!$S:$S,"INVIABLE SANITARIAMENTE")</f>
        <v>12</v>
      </c>
      <c r="M160" s="48">
        <f>(L160/$B$160)*100</f>
        <v>66.666666666666657</v>
      </c>
      <c r="N160" s="205">
        <f t="shared" si="17"/>
        <v>1</v>
      </c>
      <c r="O160" s="48">
        <f>(N160/$B$160)*100</f>
        <v>5.5555555555555554</v>
      </c>
    </row>
    <row r="161" spans="1:16" ht="15.75">
      <c r="A161" s="58" t="s">
        <v>197</v>
      </c>
      <c r="B161" s="29">
        <f>'CONSOLIDADO-ACUEDUCTOSRURALES1'!D113</f>
        <v>12</v>
      </c>
      <c r="C161" s="48">
        <f t="shared" si="16"/>
        <v>10.434782608695652</v>
      </c>
      <c r="D161" s="29">
        <f>COUNTIFS(NORDESTE!$A:$A,"Segovia",NORDESTE!$S:$S,"SIN RIESGO")</f>
        <v>2</v>
      </c>
      <c r="E161" s="48">
        <f>(D161/$B$161)*100</f>
        <v>16.666666666666664</v>
      </c>
      <c r="F161" s="29">
        <f>COUNTIFS(NORDESTE!$A:$A,"Segovia",NORDESTE!$S:$S,"BAJO")</f>
        <v>0</v>
      </c>
      <c r="G161" s="48">
        <f>(F161/$B$161)*100</f>
        <v>0</v>
      </c>
      <c r="H161" s="29">
        <f>COUNTIFS(NORDESTE!$A:$A,"Segovia",NORDESTE!$S:$S,"MEDIO")</f>
        <v>0</v>
      </c>
      <c r="I161" s="48">
        <f>(H161/$B$161)*100</f>
        <v>0</v>
      </c>
      <c r="J161" s="29">
        <f>COUNTIFS(NORDESTE!$A:$A,"Segovia",NORDESTE!$S:$S,"ALTO")</f>
        <v>0</v>
      </c>
      <c r="K161" s="48">
        <f>(J161/$B$161)*100</f>
        <v>0</v>
      </c>
      <c r="L161" s="29">
        <f>COUNTIFS(NORDESTE!$A:$A,"Segovia",NORDESTE!$S:$S,"INVIABLE SANITARIAMENTE")</f>
        <v>9</v>
      </c>
      <c r="M161" s="48">
        <f>(L161/$B$161)*100</f>
        <v>75</v>
      </c>
      <c r="N161" s="205">
        <f t="shared" si="17"/>
        <v>1</v>
      </c>
      <c r="O161" s="48">
        <f>(N161/$B$161)*100</f>
        <v>8.3333333333333321</v>
      </c>
    </row>
    <row r="162" spans="1:16" ht="15.75">
      <c r="A162" s="58" t="s">
        <v>198</v>
      </c>
      <c r="B162" s="29">
        <f>'CONSOLIDADO-ACUEDUCTOSRURALES1'!D114</f>
        <v>7</v>
      </c>
      <c r="C162" s="48">
        <f t="shared" si="16"/>
        <v>6.0869565217391308</v>
      </c>
      <c r="D162" s="29">
        <f>COUNTIFS(NORDESTE!$A:$A,"Vegachí",NORDESTE!$S:$S,"SIN RIESGO")</f>
        <v>1</v>
      </c>
      <c r="E162" s="48">
        <f>(D162/$B$162)*100</f>
        <v>14.285714285714285</v>
      </c>
      <c r="F162" s="29">
        <f>COUNTIFS(NORDESTE!$A:$A,"Vegachí",NORDESTE!$S:$S,"BAJO")</f>
        <v>0</v>
      </c>
      <c r="G162" s="48">
        <f>(F162/$B$162)*100</f>
        <v>0</v>
      </c>
      <c r="H162" s="29">
        <f>COUNTIFS(NORDESTE!$A:$A,"Vegachí",NORDESTE!$S:$S,"MEDIO")</f>
        <v>0</v>
      </c>
      <c r="I162" s="48">
        <f>(H162/$B$162)*100</f>
        <v>0</v>
      </c>
      <c r="J162" s="29">
        <f>COUNTIFS(NORDESTE!$A:$A,"Vegachí",NORDESTE!$S:$S,"ALTO")</f>
        <v>0</v>
      </c>
      <c r="K162" s="48">
        <f>(J162/$B$162)*100</f>
        <v>0</v>
      </c>
      <c r="L162" s="29">
        <f>COUNTIFS(NORDESTE!$A:$A,"Vegachí",NORDESTE!$S:$S,"INVIABLE SANITARIAMENTE")</f>
        <v>6</v>
      </c>
      <c r="M162" s="48">
        <f>(L162/$B$162)*100</f>
        <v>85.714285714285708</v>
      </c>
      <c r="N162" s="205">
        <f t="shared" si="17"/>
        <v>0</v>
      </c>
      <c r="O162" s="48">
        <f>(N162/$B$162)*100</f>
        <v>0</v>
      </c>
    </row>
    <row r="163" spans="1:16" ht="15.75">
      <c r="A163" s="58" t="s">
        <v>199</v>
      </c>
      <c r="B163" s="29">
        <f>'CONSOLIDADO-ACUEDUCTOSRURALES1'!D115</f>
        <v>10</v>
      </c>
      <c r="C163" s="48">
        <f t="shared" si="16"/>
        <v>8.695652173913043</v>
      </c>
      <c r="D163" s="29">
        <f>COUNTIFS(NORDESTE!$A:$A,"Yalí",NORDESTE!$S:$S,"SIN RIESGO")</f>
        <v>0</v>
      </c>
      <c r="E163" s="48">
        <f>(D163/$B$163)*100</f>
        <v>0</v>
      </c>
      <c r="F163" s="29">
        <f>COUNTIFS(NORDESTE!$A:$A,"Yalí",NORDESTE!$S:$S,"BAJO")</f>
        <v>0</v>
      </c>
      <c r="G163" s="48">
        <f>(F163/$B$163)*100</f>
        <v>0</v>
      </c>
      <c r="H163" s="29">
        <f>COUNTIFS(NORDESTE!$A:$A,"Yalí",NORDESTE!$S:$S,"MEDIO")</f>
        <v>0</v>
      </c>
      <c r="I163" s="48">
        <f>(H163/$B$163)*100</f>
        <v>0</v>
      </c>
      <c r="J163" s="29">
        <f>COUNTIFS(NORDESTE!$A:$A,"Yalí",NORDESTE!$S:$S,"ALTO")</f>
        <v>0</v>
      </c>
      <c r="K163" s="48">
        <f>(J163/$B$163)*100</f>
        <v>0</v>
      </c>
      <c r="L163" s="29">
        <f>COUNTIFS(NORDESTE!$A:$A,"Yalí",NORDESTE!$S:$S,"INVIABLE SANITARIAMENTE")</f>
        <v>8</v>
      </c>
      <c r="M163" s="48">
        <f>(L163/$B$163)*100</f>
        <v>80</v>
      </c>
      <c r="N163" s="205">
        <f t="shared" si="17"/>
        <v>2</v>
      </c>
      <c r="O163" s="48">
        <f>(N163/$B$163)*100</f>
        <v>20</v>
      </c>
    </row>
    <row r="164" spans="1:16" ht="15.75">
      <c r="A164" s="58" t="s">
        <v>200</v>
      </c>
      <c r="B164" s="29">
        <f>'CONSOLIDADO-ACUEDUCTOSRURALES1'!D116</f>
        <v>15</v>
      </c>
      <c r="C164" s="48">
        <f t="shared" si="16"/>
        <v>13.043478260869565</v>
      </c>
      <c r="D164" s="29">
        <f>COUNTIFS(NORDESTE!$A:$A,"Yolombó",NORDESTE!$S:$S,"SIN RIESGO")</f>
        <v>9</v>
      </c>
      <c r="E164" s="48">
        <f>(D164/$B$164)*100</f>
        <v>60</v>
      </c>
      <c r="F164" s="29">
        <f>COUNTIFS(NORDESTE!$A:$A,"Yolombó",NORDESTE!$S:$S,"BAJO")</f>
        <v>0</v>
      </c>
      <c r="G164" s="48">
        <f>(F164/$B$164)*100</f>
        <v>0</v>
      </c>
      <c r="H164" s="29">
        <f>COUNTIFS(NORDESTE!$A:$A,"Yolombó",NORDESTE!$S:$S,"MEDIO")</f>
        <v>0</v>
      </c>
      <c r="I164" s="48">
        <f>(H164/$B$164)*100</f>
        <v>0</v>
      </c>
      <c r="J164" s="29">
        <f>COUNTIFS(NORDESTE!$A:$A,"Yolombó",NORDESTE!$S:$S,"ALTO")</f>
        <v>0</v>
      </c>
      <c r="K164" s="48">
        <f>(J164/$B$164)*100</f>
        <v>0</v>
      </c>
      <c r="L164" s="29">
        <f>COUNTIFS(NORDESTE!$A:$A,"Yolombó",NORDESTE!$S:$S,"INVIABLE SANITARIAMENTE")</f>
        <v>6</v>
      </c>
      <c r="M164" s="48">
        <f>(L164/$B$164)*100</f>
        <v>40</v>
      </c>
      <c r="N164" s="205">
        <f t="shared" si="17"/>
        <v>0</v>
      </c>
      <c r="O164" s="48">
        <f>(N164/$B$164)*100</f>
        <v>0</v>
      </c>
    </row>
    <row r="165" spans="1:16" ht="27.75" customHeight="1">
      <c r="A165" s="71" t="s">
        <v>220</v>
      </c>
      <c r="B165" s="72">
        <f>SUM(B155:B164)</f>
        <v>115</v>
      </c>
      <c r="C165" s="73">
        <f>SUM(C155:C164)</f>
        <v>100</v>
      </c>
      <c r="D165" s="72">
        <f>SUM(D155:D164)</f>
        <v>16</v>
      </c>
      <c r="E165" s="73">
        <f>(D165/$B$165)*100</f>
        <v>13.913043478260869</v>
      </c>
      <c r="F165" s="72">
        <f>SUM(F155:F164)</f>
        <v>0</v>
      </c>
      <c r="G165" s="73">
        <f>(F165/$B$165)*100</f>
        <v>0</v>
      </c>
      <c r="H165" s="72">
        <f>SUM(H155:H164)</f>
        <v>1</v>
      </c>
      <c r="I165" s="73">
        <f>(H165/$B$165)*100</f>
        <v>0.86956521739130432</v>
      </c>
      <c r="J165" s="72">
        <f>SUM(J155:J164)</f>
        <v>4</v>
      </c>
      <c r="K165" s="73">
        <f>(J165/$B$165)*100</f>
        <v>3.4782608695652173</v>
      </c>
      <c r="L165" s="72">
        <f>SUM(L155:L164)</f>
        <v>84</v>
      </c>
      <c r="M165" s="73">
        <f>(L165/$B$165)*100</f>
        <v>73.043478260869563</v>
      </c>
      <c r="N165" s="72">
        <f>SUM(N155:N164)</f>
        <v>10</v>
      </c>
      <c r="O165" s="73">
        <f>(N165/$B$165)*100</f>
        <v>8.695652173913043</v>
      </c>
      <c r="P165" s="23"/>
    </row>
    <row r="166" spans="1:16" ht="15.75">
      <c r="A166" s="63"/>
      <c r="B166" s="64"/>
      <c r="C166" s="63"/>
      <c r="D166" s="64"/>
      <c r="E166" s="63"/>
      <c r="F166" s="64"/>
      <c r="G166" s="63"/>
      <c r="H166" s="64"/>
      <c r="I166" s="63"/>
      <c r="J166" s="64"/>
      <c r="K166" s="63"/>
      <c r="L166" s="64"/>
      <c r="M166" s="63"/>
      <c r="N166" s="64"/>
      <c r="O166" s="63"/>
    </row>
    <row r="167" spans="1:16">
      <c r="A167" s="33"/>
      <c r="B167" s="62"/>
      <c r="C167" s="33"/>
      <c r="D167" s="62"/>
      <c r="E167" s="33"/>
      <c r="F167" s="62"/>
      <c r="G167" s="33"/>
      <c r="H167" s="62"/>
      <c r="I167" s="33"/>
      <c r="J167" s="62"/>
      <c r="K167" s="33"/>
      <c r="L167" s="62"/>
      <c r="M167" s="33"/>
      <c r="N167" s="62"/>
      <c r="O167" s="33"/>
    </row>
    <row r="168" spans="1:16">
      <c r="A168" s="33"/>
      <c r="B168" s="62"/>
      <c r="C168" s="33"/>
      <c r="D168" s="62"/>
      <c r="E168" s="33"/>
      <c r="F168" s="62"/>
      <c r="G168" s="33"/>
      <c r="H168" s="62"/>
      <c r="I168" s="33"/>
      <c r="J168" s="62"/>
      <c r="K168" s="33"/>
      <c r="L168" s="62"/>
      <c r="M168" s="33"/>
      <c r="N168" s="62"/>
      <c r="O168" s="33"/>
    </row>
    <row r="169" spans="1:16" ht="23.25" customHeight="1">
      <c r="A169" s="731" t="s">
        <v>4467</v>
      </c>
      <c r="B169" s="731"/>
      <c r="C169" s="731"/>
      <c r="D169" s="731"/>
      <c r="E169" s="731"/>
      <c r="F169" s="731"/>
      <c r="G169" s="731"/>
      <c r="H169" s="731"/>
      <c r="I169" s="731"/>
      <c r="J169" s="731"/>
      <c r="K169" s="731"/>
      <c r="L169" s="731"/>
      <c r="M169" s="731"/>
      <c r="N169" s="731"/>
      <c r="O169" s="731"/>
    </row>
    <row r="170" spans="1:16" ht="136.5" customHeight="1">
      <c r="A170" s="246" t="s">
        <v>11</v>
      </c>
      <c r="B170" s="68" t="s">
        <v>249</v>
      </c>
      <c r="C170" s="246" t="s">
        <v>101</v>
      </c>
      <c r="D170" s="249" t="s">
        <v>243</v>
      </c>
      <c r="E170" s="246" t="s">
        <v>101</v>
      </c>
      <c r="F170" s="250" t="s">
        <v>244</v>
      </c>
      <c r="G170" s="246" t="s">
        <v>101</v>
      </c>
      <c r="H170" s="251" t="s">
        <v>245</v>
      </c>
      <c r="I170" s="246" t="s">
        <v>101</v>
      </c>
      <c r="J170" s="252" t="s">
        <v>246</v>
      </c>
      <c r="K170" s="246" t="s">
        <v>101</v>
      </c>
      <c r="L170" s="253" t="s">
        <v>247</v>
      </c>
      <c r="M170" s="246" t="s">
        <v>101</v>
      </c>
      <c r="N170" s="68" t="s">
        <v>248</v>
      </c>
      <c r="O170" s="246" t="s">
        <v>101</v>
      </c>
    </row>
    <row r="171" spans="1:16" ht="15.75">
      <c r="A171" s="58" t="s">
        <v>202</v>
      </c>
      <c r="B171" s="29">
        <f>'CONSOLIDADO-ACUEDUCTOSRURALES1'!D118</f>
        <v>48</v>
      </c>
      <c r="C171" s="48">
        <f>(B171/$B$194)*100</f>
        <v>8.7591240875912408</v>
      </c>
      <c r="D171" s="29">
        <f>COUNTIFS(ORIENTE!$A:$A,"Abejorral",ORIENTE!S:S,"SIN RIESGO")</f>
        <v>0</v>
      </c>
      <c r="E171" s="48">
        <f>(D171/$B$171)*100</f>
        <v>0</v>
      </c>
      <c r="F171" s="29">
        <f>COUNTIFS(ORIENTE!$A:$A,"Abejorral",ORIENTE!S:S,"BAJO")</f>
        <v>0</v>
      </c>
      <c r="G171" s="48">
        <f>(F171/$B$171)*100</f>
        <v>0</v>
      </c>
      <c r="H171" s="210">
        <f>COUNTIFS(ORIENTE!$A:$A,"Abejorral",ORIENTE!S:S,"MEDIO")</f>
        <v>0</v>
      </c>
      <c r="I171" s="48">
        <f>(H171/$B$171)*100</f>
        <v>0</v>
      </c>
      <c r="J171" s="210">
        <f>COUNTIFS(ORIENTE!$A:$A,"Abejorral",ORIENTE!S:S,"Alto")</f>
        <v>5</v>
      </c>
      <c r="K171" s="48">
        <f>(J171/$B$171)*100</f>
        <v>10.416666666666668</v>
      </c>
      <c r="L171" s="210">
        <f>COUNTIFS(ORIENTE!$A:$A,"Abejorral",ORIENTE!$S:$S,"INVIABLE SANITARIAMENTE")</f>
        <v>32</v>
      </c>
      <c r="M171" s="48">
        <f>(L171/$B$171)*100</f>
        <v>66.666666666666657</v>
      </c>
      <c r="N171" s="29">
        <f>B171-(D171+F171+H171+J171+L171)</f>
        <v>11</v>
      </c>
      <c r="O171" s="48">
        <f>(N171/$B$171)*100</f>
        <v>22.916666666666664</v>
      </c>
    </row>
    <row r="172" spans="1:16" ht="15.75">
      <c r="A172" s="58" t="s">
        <v>203</v>
      </c>
      <c r="B172" s="29">
        <f>'CONSOLIDADO-ACUEDUCTOSRURALES1'!D119</f>
        <v>10</v>
      </c>
      <c r="C172" s="48">
        <f t="shared" ref="C172:C193" si="18">(B172/$B$194)*100</f>
        <v>1.824817518248175</v>
      </c>
      <c r="D172" s="29">
        <f>COUNTIFS(ORIENTE!$A:$A,"Alejandría",ORIENTE!S:S,"SIN RIESGO")</f>
        <v>2</v>
      </c>
      <c r="E172" s="48">
        <f>(D172/$B$172)*100</f>
        <v>20</v>
      </c>
      <c r="F172" s="29">
        <f>COUNTIFS(ORIENTE!$A:$A,"Alejandría",ORIENTE!S:S,"BAJO")</f>
        <v>0</v>
      </c>
      <c r="G172" s="48">
        <f>(F172/$B$172)*100</f>
        <v>0</v>
      </c>
      <c r="H172" s="29">
        <f>COUNTIFS(ORIENTE!$A:$A,"Alejandría",ORIENTE!S:S,"MEDIO")</f>
        <v>0</v>
      </c>
      <c r="I172" s="48">
        <f>(H172/$B$172)*100</f>
        <v>0</v>
      </c>
      <c r="J172" s="29">
        <f>COUNTIFS(ORIENTE!$A:$A,"Alejandría",ORIENTE!S:S,"ALTO")</f>
        <v>4</v>
      </c>
      <c r="K172" s="48">
        <f>(J172/$B$172)*100</f>
        <v>40</v>
      </c>
      <c r="L172" s="210">
        <f>COUNTIFS(ORIENTE!$A:$A,"Alejandria",ORIENTE!S:S,"INVIABLE SANITARIAMENTE")</f>
        <v>0</v>
      </c>
      <c r="M172" s="48">
        <f>(L172/$B$172)*100</f>
        <v>0</v>
      </c>
      <c r="N172" s="205">
        <f t="shared" ref="N172:N193" si="19">B172-(D172+F172+H172+J172+L172)</f>
        <v>4</v>
      </c>
      <c r="O172" s="48">
        <f>(N172/$B$172)*100</f>
        <v>40</v>
      </c>
    </row>
    <row r="173" spans="1:16" ht="15.75">
      <c r="A173" s="58" t="s">
        <v>204</v>
      </c>
      <c r="B173" s="29">
        <f>'CONSOLIDADO-ACUEDUCTOSRURALES1'!D120</f>
        <v>20</v>
      </c>
      <c r="C173" s="48">
        <f t="shared" si="18"/>
        <v>3.6496350364963499</v>
      </c>
      <c r="D173" s="29">
        <f>COUNTIFS(ORIENTE!$A:$A,"Argelia",ORIENTE!S:S,"SIN RIESGO")</f>
        <v>0</v>
      </c>
      <c r="E173" s="48">
        <f>(D173/$B$173)*100</f>
        <v>0</v>
      </c>
      <c r="F173" s="29">
        <f>COUNTIFS(ORIENTE!$A:$A,"Argelia",ORIENTE!S:S,"BAJO")</f>
        <v>0</v>
      </c>
      <c r="G173" s="48">
        <f>(F173/$B$173)*100</f>
        <v>0</v>
      </c>
      <c r="H173" s="29">
        <f>COUNTIFS(ORIENTE!$A:$A,"Argelia",ORIENTE!S:S,"MEDIO")</f>
        <v>0</v>
      </c>
      <c r="I173" s="48">
        <f>(H173/$B$173)*100</f>
        <v>0</v>
      </c>
      <c r="J173" s="29">
        <f>COUNTIFS(ORIENTE!$A:$A,"Argelia",ORIENTE!S:S,"ALTO")</f>
        <v>12</v>
      </c>
      <c r="K173" s="48">
        <f>(J173/$B$173)*100</f>
        <v>60</v>
      </c>
      <c r="L173" s="29">
        <f>COUNTIFS(ORIENTE!$A:$A,"Argelia",ORIENTE!S:S,"INVIABLE SANITARIAMENTE")</f>
        <v>8</v>
      </c>
      <c r="M173" s="48">
        <f>(L173/$B$173)*100</f>
        <v>40</v>
      </c>
      <c r="N173" s="205">
        <f t="shared" si="19"/>
        <v>0</v>
      </c>
      <c r="O173" s="48">
        <f>(N173/$B$173)*100</f>
        <v>0</v>
      </c>
    </row>
    <row r="174" spans="1:16" ht="15.75">
      <c r="A174" s="58" t="s">
        <v>205</v>
      </c>
      <c r="B174" s="29">
        <f>'CONSOLIDADO-ACUEDUCTOSRURALES1'!D121</f>
        <v>23</v>
      </c>
      <c r="C174" s="48">
        <f t="shared" si="18"/>
        <v>4.1970802919708028</v>
      </c>
      <c r="D174" s="29">
        <f>COUNTIFS(ORIENTE!$A:$A,"Cocorná",ORIENTE!S:S,"SIN RIESGO")</f>
        <v>1</v>
      </c>
      <c r="E174" s="48">
        <f>(D174/$B$174)*100</f>
        <v>4.3478260869565215</v>
      </c>
      <c r="F174" s="29">
        <f>COUNTIFS(ORIENTE!$A:$A,"Cocorná",ORIENTE!S:S,"BAJO")</f>
        <v>0</v>
      </c>
      <c r="G174" s="48">
        <f>(F174/$B$174)*100</f>
        <v>0</v>
      </c>
      <c r="H174" s="29">
        <f>COUNTIFS(ORIENTE!$A:$A,"Cocorná",ORIENTE!S:S,"MEDIO")</f>
        <v>1</v>
      </c>
      <c r="I174" s="48">
        <f>(H174/$B$174)*100</f>
        <v>4.3478260869565215</v>
      </c>
      <c r="J174" s="29">
        <f>COUNTIFS(ORIENTE!$A:$A,"Cocorná",ORIENTE!S:S,"ALTO")</f>
        <v>7</v>
      </c>
      <c r="K174" s="48">
        <f>(J174/$B$174)*100</f>
        <v>30.434782608695656</v>
      </c>
      <c r="L174" s="29">
        <f>COUNTIFS(ORIENTE!$A:$A,"Cocorná",ORIENTE!S:S,"INVIABLE SANITARIAMENTE")</f>
        <v>14</v>
      </c>
      <c r="M174" s="48">
        <f>(L174/$B$174)*100</f>
        <v>60.869565217391312</v>
      </c>
      <c r="N174" s="205">
        <f t="shared" si="19"/>
        <v>0</v>
      </c>
      <c r="O174" s="48">
        <f>(N174/$B$174)*100</f>
        <v>0</v>
      </c>
    </row>
    <row r="175" spans="1:16" ht="15.75">
      <c r="A175" s="58" t="s">
        <v>206</v>
      </c>
      <c r="B175" s="29">
        <f>'CONSOLIDADO-ACUEDUCTOSRURALES1'!D122</f>
        <v>5</v>
      </c>
      <c r="C175" s="48">
        <f t="shared" si="18"/>
        <v>0.91240875912408748</v>
      </c>
      <c r="D175" s="29">
        <f>COUNTIFS(ORIENTE!$A:$A,"Concepción",ORIENTE!S:S,"SIN RIESGO")</f>
        <v>0</v>
      </c>
      <c r="E175" s="48">
        <f>(D175/$B$175)*100</f>
        <v>0</v>
      </c>
      <c r="F175" s="29">
        <f>COUNTIFS(ORIENTE!$A:$A,"Concepción",ORIENTE!S:S,"BAJO")</f>
        <v>0</v>
      </c>
      <c r="G175" s="48">
        <f>(F175/$B$175)*100</f>
        <v>0</v>
      </c>
      <c r="H175" s="29">
        <f>COUNTIFS(ORIENTE!$A:$A,"Concepción",ORIENTE!S:S,"MEDIO")</f>
        <v>1</v>
      </c>
      <c r="I175" s="48">
        <f>(H175/$B$175)*100</f>
        <v>20</v>
      </c>
      <c r="J175" s="29">
        <f>COUNTIFS(ORIENTE!$A:$A,"Concepción",ORIENTE!S:S,"ALTO")</f>
        <v>4</v>
      </c>
      <c r="K175" s="48">
        <f>(J175/$B$175)*100</f>
        <v>80</v>
      </c>
      <c r="L175" s="29">
        <f>COUNTIFS(ORIENTE!$A:$A,"Concepción",ORIENTE!S:S,"INVIABLE SANITARIAMENTE")</f>
        <v>0</v>
      </c>
      <c r="M175" s="48">
        <f>(L175/$B$175)*100</f>
        <v>0</v>
      </c>
      <c r="N175" s="205">
        <f t="shared" si="19"/>
        <v>0</v>
      </c>
      <c r="O175" s="48">
        <f>(N175/$B$175)*100</f>
        <v>0</v>
      </c>
    </row>
    <row r="176" spans="1:16" ht="15.75">
      <c r="A176" s="58" t="s">
        <v>207</v>
      </c>
      <c r="B176" s="29">
        <f>'CONSOLIDADO-ACUEDUCTOSRURALES1'!D123</f>
        <v>36</v>
      </c>
      <c r="C176" s="48">
        <f t="shared" si="18"/>
        <v>6.5693430656934311</v>
      </c>
      <c r="D176" s="29">
        <f>COUNTIFS(ORIENTE!$A:$A,"Carmen de Viboral",ORIENTE!S:S,"SIN RIESGO")</f>
        <v>31</v>
      </c>
      <c r="E176" s="48">
        <f>(D176/$B$176)*100</f>
        <v>86.111111111111114</v>
      </c>
      <c r="F176" s="29">
        <f>COUNTIFS(ORIENTE!$A:$A,"Carmen de Viboral",ORIENTE!S:S,"BAJO")</f>
        <v>2</v>
      </c>
      <c r="G176" s="48">
        <f>(F176/$B$176)*100</f>
        <v>5.5555555555555554</v>
      </c>
      <c r="H176" s="29">
        <f>COUNTIFS(ORIENTE!$A:$A,"Carmen de Viboral",ORIENTE!S:S,"MEDIO")</f>
        <v>3</v>
      </c>
      <c r="I176" s="48">
        <f>(H176/$B$176)*100</f>
        <v>8.3333333333333321</v>
      </c>
      <c r="J176" s="29">
        <f>COUNTIFS(ORIENTE!$A:$A,"Carmen de Viboral",ORIENTE!S:S,"ALTO")</f>
        <v>0</v>
      </c>
      <c r="K176" s="48">
        <f>(J176/$B$176)*100</f>
        <v>0</v>
      </c>
      <c r="L176" s="29">
        <f>COUNTIFS(ORIENTE!$A:$A,"Carmen de Viboral",ORIENTE!S:S,"INVIABLE SANITARIAMENTE")</f>
        <v>0</v>
      </c>
      <c r="M176" s="48">
        <f>(L176/$B$176)*100</f>
        <v>0</v>
      </c>
      <c r="N176" s="205">
        <f t="shared" si="19"/>
        <v>0</v>
      </c>
      <c r="O176" s="48">
        <f>(N176/$B$176)*100</f>
        <v>0</v>
      </c>
    </row>
    <row r="177" spans="1:15" ht="15.75">
      <c r="A177" s="58" t="s">
        <v>208</v>
      </c>
      <c r="B177" s="29">
        <f>'CONSOLIDADO-ACUEDUCTOSRURALES1'!D124</f>
        <v>28</v>
      </c>
      <c r="C177" s="48">
        <f t="shared" si="18"/>
        <v>5.1094890510948909</v>
      </c>
      <c r="D177" s="29">
        <f>COUNTIFS(ORIENTE!$A:$A,"El Peñol",ORIENTE!S:S,"SIN RIESGO")</f>
        <v>19</v>
      </c>
      <c r="E177" s="48">
        <f>(D177/$B$177)*100</f>
        <v>67.857142857142861</v>
      </c>
      <c r="F177" s="29">
        <f>COUNTIFS(ORIENTE!$A:$A,"El Peñol",ORIENTE!S:S,"BAJO")</f>
        <v>2</v>
      </c>
      <c r="G177" s="48">
        <f>(F177/$B$177)*100</f>
        <v>7.1428571428571423</v>
      </c>
      <c r="H177" s="29">
        <f>COUNTIFS(ORIENTE!$A:$A,"El Peñol",ORIENTE!S:S,"MEDIO")</f>
        <v>0</v>
      </c>
      <c r="I177" s="48">
        <f>(H177/$B$177)*100</f>
        <v>0</v>
      </c>
      <c r="J177" s="29">
        <f>COUNTIFS(ORIENTE!$A:$A,"El Peñol",ORIENTE!S:S,"ALTO")</f>
        <v>4</v>
      </c>
      <c r="K177" s="48">
        <f>(J177/$B$177)*100</f>
        <v>14.285714285714285</v>
      </c>
      <c r="L177" s="29">
        <f>COUNTIFS(ORIENTE!$A:$A,"El Peñol",ORIENTE!S:S,"INVIABLE SANITARIAMENTE")</f>
        <v>2</v>
      </c>
      <c r="M177" s="48">
        <f>(L177/$B$177)*100</f>
        <v>7.1428571428571423</v>
      </c>
      <c r="N177" s="205">
        <f t="shared" si="19"/>
        <v>1</v>
      </c>
      <c r="O177" s="48">
        <f>(N177/$B$177)*100</f>
        <v>3.5714285714285712</v>
      </c>
    </row>
    <row r="178" spans="1:15" ht="15.75">
      <c r="A178" s="58" t="s">
        <v>209</v>
      </c>
      <c r="B178" s="29">
        <f>'CONSOLIDADO-ACUEDUCTOSRURALES1'!D125</f>
        <v>22</v>
      </c>
      <c r="C178" s="48">
        <f t="shared" si="18"/>
        <v>4.0145985401459852</v>
      </c>
      <c r="D178" s="29">
        <f>COUNTIFS(ORIENTE!$A:$A,"El Retiro",ORIENTE!S:S,"SIN RIESGO")</f>
        <v>2</v>
      </c>
      <c r="E178" s="48">
        <f>(D178/$B$178)*100</f>
        <v>9.0909090909090917</v>
      </c>
      <c r="F178" s="29">
        <f>COUNTIFS(ORIENTE!$A:$A,"El Retiro",ORIENTE!S:S,"BAJO")</f>
        <v>2</v>
      </c>
      <c r="G178" s="48">
        <f>(F178/$B$178)*100</f>
        <v>9.0909090909090917</v>
      </c>
      <c r="H178" s="29">
        <f>COUNTIFS(ORIENTE!$A:$A,"El Retiro",ORIENTE!S:S,"MEDIO")</f>
        <v>4</v>
      </c>
      <c r="I178" s="48">
        <f>(H178/$B$178)*100</f>
        <v>18.181818181818183</v>
      </c>
      <c r="J178" s="29">
        <f>COUNTIFS(ORIENTE!$A:$A,"El Retiro",ORIENTE!S:S,"ALTO")</f>
        <v>8</v>
      </c>
      <c r="K178" s="48">
        <f>(J178/$B$178)*100</f>
        <v>36.363636363636367</v>
      </c>
      <c r="L178" s="29">
        <f>COUNTIFS(ORIENTE!$A:$A,"El Retiro",ORIENTE!S:S,"INVIABLE SANITARIAMENTE")</f>
        <v>3</v>
      </c>
      <c r="M178" s="48">
        <f>(L178/$B$178)*100</f>
        <v>13.636363636363635</v>
      </c>
      <c r="N178" s="205">
        <f t="shared" si="19"/>
        <v>3</v>
      </c>
      <c r="O178" s="48">
        <f>(N178/$B$178)*100</f>
        <v>13.636363636363635</v>
      </c>
    </row>
    <row r="179" spans="1:15" ht="15.75">
      <c r="A179" s="58" t="s">
        <v>210</v>
      </c>
      <c r="B179" s="29">
        <f>'CONSOLIDADO-ACUEDUCTOSRURALES1'!D126</f>
        <v>37</v>
      </c>
      <c r="C179" s="48">
        <f t="shared" si="18"/>
        <v>6.7518248175182478</v>
      </c>
      <c r="D179" s="29">
        <f>COUNTIFS(ORIENTE!$A:$A,"El Santuario",ORIENTE!S:S,"SIN RIESGO")</f>
        <v>4</v>
      </c>
      <c r="E179" s="48">
        <f>(D179/$B$179)*100</f>
        <v>10.810810810810811</v>
      </c>
      <c r="F179" s="29">
        <f>COUNTIFS(ORIENTE!$A:$A,"El Santuario",ORIENTE!S:S,"BAJO")</f>
        <v>1</v>
      </c>
      <c r="G179" s="48">
        <f>(F179/$B$179)*100</f>
        <v>2.7027027027027026</v>
      </c>
      <c r="H179" s="29">
        <f>COUNTIFS(ORIENTE!$A:$A,"El Santuario",ORIENTE!S:S,"MEDIO")</f>
        <v>7</v>
      </c>
      <c r="I179" s="48">
        <f>(H179/$B$179)*100</f>
        <v>18.918918918918919</v>
      </c>
      <c r="J179" s="29">
        <f>COUNTIFS(ORIENTE!$A:$A,"El Santuario",ORIENTE!S:S,"ALTO")</f>
        <v>4</v>
      </c>
      <c r="K179" s="48">
        <f>(J179/$B$179)*100</f>
        <v>10.810810810810811</v>
      </c>
      <c r="L179" s="29">
        <f>COUNTIFS(ORIENTE!$A:$A,"El Santuario",ORIENTE!S:S,"INVIABLE SANITARIAMENTE")</f>
        <v>8</v>
      </c>
      <c r="M179" s="48">
        <f>(L179/$B$179)*100</f>
        <v>21.621621621621621</v>
      </c>
      <c r="N179" s="205">
        <f t="shared" si="19"/>
        <v>13</v>
      </c>
      <c r="O179" s="48">
        <f>(N179/$B$179)*100</f>
        <v>35.135135135135137</v>
      </c>
    </row>
    <row r="180" spans="1:15" ht="15.75">
      <c r="A180" s="58" t="s">
        <v>211</v>
      </c>
      <c r="B180" s="29">
        <f>'CONSOLIDADO-ACUEDUCTOSRURALES1'!D127</f>
        <v>29</v>
      </c>
      <c r="C180" s="48">
        <f t="shared" si="18"/>
        <v>5.2919708029197077</v>
      </c>
      <c r="D180" s="29">
        <f>COUNTIFS(ORIENTE!$A:$A,"Granada",ORIENTE!S:S,"SIN RIESGO")</f>
        <v>0</v>
      </c>
      <c r="E180" s="48">
        <f>(D180/$B$180)*100</f>
        <v>0</v>
      </c>
      <c r="F180" s="29">
        <f>COUNTIFS(ORIENTE!$A:$A,"Granada",ORIENTE!S:S,"BAJO")</f>
        <v>0</v>
      </c>
      <c r="G180" s="48">
        <f>(F180/$B$180)*100</f>
        <v>0</v>
      </c>
      <c r="H180" s="29">
        <f>COUNTIFS(ORIENTE!$A:$A,"Granada",ORIENTE!S:S,"MEDIO")</f>
        <v>0</v>
      </c>
      <c r="I180" s="48">
        <f>(H180/$B$180)*100</f>
        <v>0</v>
      </c>
      <c r="J180" s="29">
        <f>COUNTIFS(ORIENTE!$A:$A,"Granada",ORIENTE!S:S,"ALTO")</f>
        <v>0</v>
      </c>
      <c r="K180" s="48">
        <f>(J180/$B$180)*100</f>
        <v>0</v>
      </c>
      <c r="L180" s="29">
        <f>COUNTIFS(ORIENTE!$A:$A,"Granada",ORIENTE!S:S,"INVIABLE SANITARIAMENTE")</f>
        <v>27</v>
      </c>
      <c r="M180" s="48">
        <f>(L180/$B$180)*100</f>
        <v>93.103448275862064</v>
      </c>
      <c r="N180" s="205">
        <f t="shared" si="19"/>
        <v>2</v>
      </c>
      <c r="O180" s="48">
        <f>(N180/$B$180)*100</f>
        <v>6.8965517241379306</v>
      </c>
    </row>
    <row r="181" spans="1:15" ht="15.75">
      <c r="A181" s="58" t="s">
        <v>212</v>
      </c>
      <c r="B181" s="29">
        <f>'CONSOLIDADO-ACUEDUCTOSRURALES1'!D128</f>
        <v>59</v>
      </c>
      <c r="C181" s="48">
        <f t="shared" si="18"/>
        <v>10.766423357664232</v>
      </c>
      <c r="D181" s="29">
        <f>COUNTIFS(ORIENTE!$A:$A,"Guarne",ORIENTE!S:S,"SIN RIESGO")</f>
        <v>34</v>
      </c>
      <c r="E181" s="48">
        <f>(D181/$B$181)*100</f>
        <v>57.627118644067799</v>
      </c>
      <c r="F181" s="29">
        <f>COUNTIFS(ORIENTE!$A:$A,"Guarne",ORIENTE!S:S,"BAJO")</f>
        <v>13</v>
      </c>
      <c r="G181" s="48">
        <f>(F181/$B$181)*100</f>
        <v>22.033898305084744</v>
      </c>
      <c r="H181" s="29">
        <f>COUNTIFS(ORIENTE!$A:$A,"Guarne",ORIENTE!S:S,"MEDIO")</f>
        <v>8</v>
      </c>
      <c r="I181" s="48">
        <f>(H181/$B$181)*100</f>
        <v>13.559322033898304</v>
      </c>
      <c r="J181" s="29">
        <f>COUNTIFS(ORIENTE!$A:$A,"Guarne",ORIENTE!S:S,"ALTO")</f>
        <v>0</v>
      </c>
      <c r="K181" s="48">
        <f>(J181/$B$181)*100</f>
        <v>0</v>
      </c>
      <c r="L181" s="29">
        <f>COUNTIFS(ORIENTE!$A:$A,"Guarne",ORIENTE!S:S,"INVIABLE SANITARIAMENTE")</f>
        <v>0</v>
      </c>
      <c r="M181" s="48">
        <f>(L181/$B$181)*100</f>
        <v>0</v>
      </c>
      <c r="N181" s="205">
        <f t="shared" si="19"/>
        <v>4</v>
      </c>
      <c r="O181" s="48">
        <f>(N181/$B$181)*100</f>
        <v>6.7796610169491522</v>
      </c>
    </row>
    <row r="182" spans="1:15" ht="15.75">
      <c r="A182" s="58" t="s">
        <v>213</v>
      </c>
      <c r="B182" s="29">
        <f>'CONSOLIDADO-ACUEDUCTOSRURALES1'!D129</f>
        <v>6</v>
      </c>
      <c r="C182" s="48">
        <f t="shared" si="18"/>
        <v>1.0948905109489051</v>
      </c>
      <c r="D182" s="29">
        <f>COUNTIFS(ORIENTE!$A:$A,"Guatapé",ORIENTE!S:S,"SIN RIESGO")</f>
        <v>2</v>
      </c>
      <c r="E182" s="48">
        <f>(D182/$B$182)*100</f>
        <v>33.333333333333329</v>
      </c>
      <c r="F182" s="29">
        <f>COUNTIFS(ORIENTE!$A:$A,"Guatapé",ORIENTE!S:S,"BAJO")</f>
        <v>0</v>
      </c>
      <c r="G182" s="48">
        <f>(F182/$B$182)*100</f>
        <v>0</v>
      </c>
      <c r="H182" s="29">
        <f>COUNTIFS(ORIENTE!$A:$A,"Guatapé",ORIENTE!S:S,"MEDIO")</f>
        <v>1</v>
      </c>
      <c r="I182" s="48">
        <f>(H182/$B$182)*100</f>
        <v>16.666666666666664</v>
      </c>
      <c r="J182" s="29">
        <f>COUNTIFS(ORIENTE!$A:$A,"Guatapé",ORIENTE!S:S,"ALTO")</f>
        <v>2</v>
      </c>
      <c r="K182" s="48">
        <f>(J182/$B$182)*100</f>
        <v>33.333333333333329</v>
      </c>
      <c r="L182" s="29">
        <f>COUNTIFS(ORIENTE!$A:$A,"Guatapé",ORIENTE!S:S,"INVIABLE SANITARIAMENTE")</f>
        <v>0</v>
      </c>
      <c r="M182" s="48">
        <f>(L182/$B$182)*100</f>
        <v>0</v>
      </c>
      <c r="N182" s="205">
        <f t="shared" si="19"/>
        <v>1</v>
      </c>
      <c r="O182" s="48">
        <f>(N182/$B$182)*100</f>
        <v>16.666666666666664</v>
      </c>
    </row>
    <row r="183" spans="1:15" ht="15.75">
      <c r="A183" s="58" t="s">
        <v>44</v>
      </c>
      <c r="B183" s="29">
        <f>'CONSOLIDADO-ACUEDUCTOSRURALES1'!D130</f>
        <v>16</v>
      </c>
      <c r="C183" s="48">
        <f t="shared" si="18"/>
        <v>2.9197080291970803</v>
      </c>
      <c r="D183" s="29">
        <f>COUNTIFS(ORIENTE!$A:$A,"La Ceja",ORIENTE!S:S,"SIN RIESGO")</f>
        <v>5</v>
      </c>
      <c r="E183" s="48">
        <f>(D183/$B$183)*100</f>
        <v>31.25</v>
      </c>
      <c r="F183" s="29">
        <f>COUNTIFS(ORIENTE!$A:$A,"La Ceja",ORIENTE!S:S,"BAJO")</f>
        <v>0</v>
      </c>
      <c r="G183" s="48">
        <f>(F183/$B$183)*100</f>
        <v>0</v>
      </c>
      <c r="H183" s="29">
        <f>COUNTIFS(ORIENTE!$A:$A,"La Ceja",ORIENTE!S:S,"MEDIO")</f>
        <v>3</v>
      </c>
      <c r="I183" s="48">
        <f>(H183/$B$183)*100</f>
        <v>18.75</v>
      </c>
      <c r="J183" s="29">
        <f>COUNTIFS(ORIENTE!$A:$A,"La Ceja",ORIENTE!S:S,"ALTO")</f>
        <v>5</v>
      </c>
      <c r="K183" s="48">
        <f>(J183/$B$183)*100</f>
        <v>31.25</v>
      </c>
      <c r="L183" s="29">
        <f>COUNTIFS(ORIENTE!$A:$A,"La Ceja",ORIENTE!S:S,"INVIABLE SANITARIAMENTE")</f>
        <v>2</v>
      </c>
      <c r="M183" s="48">
        <f>(L183/$B$183)*100</f>
        <v>12.5</v>
      </c>
      <c r="N183" s="205">
        <f t="shared" si="19"/>
        <v>1</v>
      </c>
      <c r="O183" s="48">
        <f>(N183/$B$183)*100</f>
        <v>6.25</v>
      </c>
    </row>
    <row r="184" spans="1:15" ht="15.75">
      <c r="A184" s="58" t="s">
        <v>214</v>
      </c>
      <c r="B184" s="29">
        <f>'CONSOLIDADO-ACUEDUCTOSRURALES1'!D131</f>
        <v>18</v>
      </c>
      <c r="C184" s="48">
        <f t="shared" si="18"/>
        <v>3.2846715328467155</v>
      </c>
      <c r="D184" s="29">
        <f>COUNTIFS(ORIENTE!$A:$A,"La Unión",ORIENTE!S:S,"SIN RIESGO")</f>
        <v>4</v>
      </c>
      <c r="E184" s="48">
        <f>(D184/$B$184)*100</f>
        <v>22.222222222222221</v>
      </c>
      <c r="F184" s="29">
        <f>COUNTIFS(ORIENTE!$A:$A,"La Unión",ORIENTE!S:S,"BAJO")</f>
        <v>4</v>
      </c>
      <c r="G184" s="48">
        <f>(F184/$B$184)*100</f>
        <v>22.222222222222221</v>
      </c>
      <c r="H184" s="29">
        <f>COUNTIFS(ORIENTE!$A:$A,"La Unión",ORIENTE!S:S,"MEDIO")</f>
        <v>1</v>
      </c>
      <c r="I184" s="48">
        <f>(H184/$B$184)*100</f>
        <v>5.5555555555555554</v>
      </c>
      <c r="J184" s="29">
        <f>COUNTIFS(ORIENTE!$A:$A,"La Unión",ORIENTE!S:S,"ALTO")</f>
        <v>4</v>
      </c>
      <c r="K184" s="48">
        <f>(J184/$B$184)*100</f>
        <v>22.222222222222221</v>
      </c>
      <c r="L184" s="29">
        <f>COUNTIFS(ORIENTE!$A:$A,"La Unión",ORIENTE!S:S,"INVIABLE SANITARIAMENTE")</f>
        <v>5</v>
      </c>
      <c r="M184" s="48">
        <f>(L184/$B$184)*100</f>
        <v>27.777777777777779</v>
      </c>
      <c r="N184" s="205">
        <f t="shared" si="19"/>
        <v>0</v>
      </c>
      <c r="O184" s="48">
        <f>(N184/$B$184)*100</f>
        <v>0</v>
      </c>
    </row>
    <row r="185" spans="1:15" ht="15.75">
      <c r="A185" s="58" t="s">
        <v>215</v>
      </c>
      <c r="B185" s="29">
        <f>'CONSOLIDADO-ACUEDUCTOSRURALES1'!D132</f>
        <v>38</v>
      </c>
      <c r="C185" s="48">
        <f t="shared" si="18"/>
        <v>6.9343065693430654</v>
      </c>
      <c r="D185" s="29">
        <f>COUNTIFS(ORIENTE!$A:$A,"Marinilla",ORIENTE!S:S,"SIN RIESGO")</f>
        <v>27</v>
      </c>
      <c r="E185" s="48">
        <f>(D185/$B$185)*100</f>
        <v>71.05263157894737</v>
      </c>
      <c r="F185" s="29">
        <f>COUNTIFS(ORIENTE!$A:$A,"Marinilla",ORIENTE!S:S,"BAJO")</f>
        <v>7</v>
      </c>
      <c r="G185" s="48">
        <f>(F185/$B$185)*100</f>
        <v>18.421052631578945</v>
      </c>
      <c r="H185" s="29">
        <f>COUNTIFS(ORIENTE!$A:$A,"Marinilla",ORIENTE!S:S,"MEDIO")</f>
        <v>4</v>
      </c>
      <c r="I185" s="48">
        <f>(H185/$B$185)*100</f>
        <v>10.526315789473683</v>
      </c>
      <c r="J185" s="29">
        <f>COUNTIFS(ORIENTE!$A:$A,"Marinilla",ORIENTE!S:S,"ALTO")</f>
        <v>0</v>
      </c>
      <c r="K185" s="48">
        <f>(J185/$B$185)*100</f>
        <v>0</v>
      </c>
      <c r="L185" s="29">
        <f>COUNTIFS(ORIENTE!$A:$A,"Marinilla",ORIENTE!S:S,"INVIABLE SANITARIAMENTE")</f>
        <v>0</v>
      </c>
      <c r="M185" s="48">
        <f>(L185/$B$185)*100</f>
        <v>0</v>
      </c>
      <c r="N185" s="205">
        <f t="shared" si="19"/>
        <v>0</v>
      </c>
      <c r="O185" s="48">
        <f>(N185/$B$185)*100</f>
        <v>0</v>
      </c>
    </row>
    <row r="186" spans="1:15" ht="15.75">
      <c r="A186" s="58" t="s">
        <v>216</v>
      </c>
      <c r="B186" s="29">
        <f>'CONSOLIDADO-ACUEDUCTOSRURALES1'!D133</f>
        <v>11</v>
      </c>
      <c r="C186" s="48">
        <f t="shared" si="18"/>
        <v>2.0072992700729926</v>
      </c>
      <c r="D186" s="29">
        <f>COUNTIFS(ORIENTE!$A:$A,"Nariño",ORIENTE!S:S,"SIN RIESGO")</f>
        <v>1</v>
      </c>
      <c r="E186" s="48">
        <f>(D186/$B$186)*100</f>
        <v>9.0909090909090917</v>
      </c>
      <c r="F186" s="29">
        <f>COUNTIFS(ORIENTE!$A:$A,"Nariño",ORIENTE!S:S,"BAJO")</f>
        <v>0</v>
      </c>
      <c r="G186" s="48">
        <f>(F186/$B$186)*100</f>
        <v>0</v>
      </c>
      <c r="H186" s="29">
        <f>COUNTIFS(ORIENTE!$A:$A,"Nariño",ORIENTE!S:S,"MEDIO")</f>
        <v>0</v>
      </c>
      <c r="I186" s="48">
        <f>(H186/$B$186)*100</f>
        <v>0</v>
      </c>
      <c r="J186" s="29">
        <f>COUNTIFS(ORIENTE!$A:$A,"Nariño",ORIENTE!S:S,"ALTO")</f>
        <v>10</v>
      </c>
      <c r="K186" s="48">
        <f>(J186/$B$186)*100</f>
        <v>90.909090909090907</v>
      </c>
      <c r="L186" s="29">
        <f>COUNTIFS(ORIENTE!$A:$A,"Nariño",ORIENTE!S:S,"INVIABLE SANITARIAMENTE")</f>
        <v>0</v>
      </c>
      <c r="M186" s="48">
        <f>(L186/$B$186)*100</f>
        <v>0</v>
      </c>
      <c r="N186" s="205">
        <f t="shared" si="19"/>
        <v>0</v>
      </c>
      <c r="O186" s="48">
        <f>(N186/$B$186)*100</f>
        <v>0</v>
      </c>
    </row>
    <row r="187" spans="1:15" ht="15.75">
      <c r="A187" s="58" t="s">
        <v>80</v>
      </c>
      <c r="B187" s="29">
        <f>'CONSOLIDADO-ACUEDUCTOSRURALES1'!D134</f>
        <v>24</v>
      </c>
      <c r="C187" s="48">
        <f t="shared" si="18"/>
        <v>4.3795620437956204</v>
      </c>
      <c r="D187" s="29">
        <f>COUNTIFS(ORIENTE!$A:$A,"Rionegro",ORIENTE!S:S,"SIN RIESGO")</f>
        <v>15</v>
      </c>
      <c r="E187" s="48">
        <f>(D187/$B$187)*100</f>
        <v>62.5</v>
      </c>
      <c r="F187" s="29">
        <f>COUNTIFS(ORIENTE!$A:$A,"Rionegro",ORIENTE!S:S,"BAJO")</f>
        <v>6</v>
      </c>
      <c r="G187" s="48">
        <f>(F187/$B$187)*100</f>
        <v>25</v>
      </c>
      <c r="H187" s="29">
        <f>COUNTIFS(ORIENTE!$A:$A,"Rionegro",ORIENTE!S:S,"MEDIO")</f>
        <v>2</v>
      </c>
      <c r="I187" s="48">
        <f>(H187/$B$187)*100</f>
        <v>8.3333333333333321</v>
      </c>
      <c r="J187" s="29">
        <f>COUNTIFS(ORIENTE!$A:$A,"Rionegro",ORIENTE!S:S,"ALTO")</f>
        <v>1</v>
      </c>
      <c r="K187" s="48">
        <f>(J187/$B$187)*100</f>
        <v>4.1666666666666661</v>
      </c>
      <c r="L187" s="29">
        <f>COUNTIFS(ORIENTE!$A:$A,"Rionegro",ORIENTE!S:S,"INVIABLE SANITARIAMENTE")</f>
        <v>0</v>
      </c>
      <c r="M187" s="48">
        <f>(L187/$B$187)*100</f>
        <v>0</v>
      </c>
      <c r="N187" s="205">
        <f t="shared" si="19"/>
        <v>0</v>
      </c>
      <c r="O187" s="48">
        <f>(N187/$B$187)*100</f>
        <v>0</v>
      </c>
    </row>
    <row r="188" spans="1:15" ht="15.75">
      <c r="A188" s="58" t="s">
        <v>52</v>
      </c>
      <c r="B188" s="29">
        <f>'CONSOLIDADO-ACUEDUCTOSRURALES1'!D135</f>
        <v>15</v>
      </c>
      <c r="C188" s="48">
        <f t="shared" si="18"/>
        <v>2.7372262773722631</v>
      </c>
      <c r="D188" s="29">
        <f>COUNTIFS(ORIENTE!$A:$A,"San Carlos",ORIENTE!S:S,"SIN RIESGO")</f>
        <v>3</v>
      </c>
      <c r="E188" s="48">
        <f>(D188/$B$188)*100</f>
        <v>20</v>
      </c>
      <c r="F188" s="29">
        <f>COUNTIFS(ORIENTE!$A:$A,"San Carlos",ORIENTE!S:S,"BAJO")</f>
        <v>0</v>
      </c>
      <c r="G188" s="48">
        <f>(F188/$B$188)*100</f>
        <v>0</v>
      </c>
      <c r="H188" s="29">
        <f>COUNTIFS(ORIENTE!$A:$A,"San Carlos",ORIENTE!S:S,"MEDIO")</f>
        <v>0</v>
      </c>
      <c r="I188" s="48">
        <f>(H188/$B$188)*100</f>
        <v>0</v>
      </c>
      <c r="J188" s="29">
        <f>COUNTIFS(ORIENTE!$A:$A,"San Carlos",ORIENTE!S:S,"ALTO")</f>
        <v>3</v>
      </c>
      <c r="K188" s="48">
        <f>(J188/$B$188)*100</f>
        <v>20</v>
      </c>
      <c r="L188" s="29">
        <f>COUNTIFS(ORIENTE!$A:$A,"San Carlos",ORIENTE!S:S,"INVIABLE SANITARIAMENTE")</f>
        <v>9</v>
      </c>
      <c r="M188" s="48">
        <f>(L188/$B$188)*100</f>
        <v>60</v>
      </c>
      <c r="N188" s="205">
        <f t="shared" si="19"/>
        <v>0</v>
      </c>
      <c r="O188" s="48">
        <f>(N188/$B$188)*100</f>
        <v>0</v>
      </c>
    </row>
    <row r="189" spans="1:15" ht="15.75">
      <c r="A189" s="58" t="s">
        <v>217</v>
      </c>
      <c r="B189" s="29">
        <f>'CONSOLIDADO-ACUEDUCTOSRURALES1'!D136</f>
        <v>7</v>
      </c>
      <c r="C189" s="48">
        <f t="shared" si="18"/>
        <v>1.2773722627737227</v>
      </c>
      <c r="D189" s="29">
        <f>COUNTIFS(ORIENTE!$A:$A,"San Francisco",ORIENTE!S:S,"SIN RIESGO")</f>
        <v>0</v>
      </c>
      <c r="E189" s="48">
        <f>(D189/$B$189)*100</f>
        <v>0</v>
      </c>
      <c r="F189" s="29">
        <f>COUNTIFS(ORIENTE!$A:$A,"San Francisco",ORIENTE!S:S,"BAJO")</f>
        <v>0</v>
      </c>
      <c r="G189" s="48">
        <f>(F189/$B$189)*100</f>
        <v>0</v>
      </c>
      <c r="H189" s="29">
        <f>COUNTIFS(ORIENTE!$A:$A,"San Francisco",ORIENTE!S:S,"MEDIO")</f>
        <v>0</v>
      </c>
      <c r="I189" s="48">
        <f>(H189/$B$189)*100</f>
        <v>0</v>
      </c>
      <c r="J189" s="29">
        <f>COUNTIFS(ORIENTE!$A:$A,"San Francisco",ORIENTE!S:S,"ALTO")</f>
        <v>0</v>
      </c>
      <c r="K189" s="48">
        <f>(J189/$B$189)*100</f>
        <v>0</v>
      </c>
      <c r="L189" s="29">
        <f>COUNTIFS(ORIENTE!$A:$A,"San Francisco",ORIENTE!S:S,"INVIABLE SANITARIAMENTE")</f>
        <v>7</v>
      </c>
      <c r="M189" s="48">
        <f>(L189/$B$189)*100</f>
        <v>100</v>
      </c>
      <c r="N189" s="205">
        <f t="shared" si="19"/>
        <v>0</v>
      </c>
      <c r="O189" s="48">
        <f>(N189/$B$189)*100</f>
        <v>0</v>
      </c>
    </row>
    <row r="190" spans="1:15" ht="15.75">
      <c r="A190" s="58" t="s">
        <v>73</v>
      </c>
      <c r="B190" s="29">
        <f>'CONSOLIDADO-ACUEDUCTOSRURALES1'!D137</f>
        <v>9</v>
      </c>
      <c r="C190" s="48">
        <f t="shared" si="18"/>
        <v>1.6423357664233578</v>
      </c>
      <c r="D190" s="29">
        <f>COUNTIFS(ORIENTE!$A:$A,"San Luis",ORIENTE!S:S,"SIN RIESGO")</f>
        <v>0</v>
      </c>
      <c r="E190" s="48">
        <f>(D190/$B$190)*100</f>
        <v>0</v>
      </c>
      <c r="F190" s="29">
        <f>COUNTIFS(ORIENTE!$A:$A,"San Luis",ORIENTE!S:S,"BAJO")</f>
        <v>0</v>
      </c>
      <c r="G190" s="48">
        <f>(F190/$B$190)*100</f>
        <v>0</v>
      </c>
      <c r="H190" s="29">
        <f>COUNTIFS(ORIENTE!$A:$A,"San Luis",ORIENTE!S:S,"MEDIO")</f>
        <v>0</v>
      </c>
      <c r="I190" s="48">
        <f>(H190/$B$190)*100</f>
        <v>0</v>
      </c>
      <c r="J190" s="29">
        <f>COUNTIFS(ORIENTE!$A:$A,"San Luis",ORIENTE!S:S,"ALTO")</f>
        <v>8</v>
      </c>
      <c r="K190" s="48">
        <f>(J190/$B$190)*100</f>
        <v>88.888888888888886</v>
      </c>
      <c r="L190" s="29">
        <f>COUNTIFS(ORIENTE!$A:$A,"San Luis",ORIENTE!S:S,"INVIABLE SANITARIAMENTE")</f>
        <v>1</v>
      </c>
      <c r="M190" s="48">
        <f>(L190/$B$190)*100</f>
        <v>11.111111111111111</v>
      </c>
      <c r="N190" s="205">
        <f t="shared" si="19"/>
        <v>0</v>
      </c>
      <c r="O190" s="48">
        <f>(N190/$B$190)*100</f>
        <v>0</v>
      </c>
    </row>
    <row r="191" spans="1:15" ht="15.75">
      <c r="A191" s="58" t="s">
        <v>93</v>
      </c>
      <c r="B191" s="29">
        <f>'CONSOLIDADO-ACUEDUCTOSRURALES1'!D138</f>
        <v>17</v>
      </c>
      <c r="C191" s="48">
        <f t="shared" si="18"/>
        <v>3.1021897810218979</v>
      </c>
      <c r="D191" s="29">
        <f>COUNTIFS(ORIENTE!$A:$A,"San Rafael",ORIENTE!S:S,"SIN RIESGO")</f>
        <v>0</v>
      </c>
      <c r="E191" s="48">
        <f>(D191/$B$191)*100</f>
        <v>0</v>
      </c>
      <c r="F191" s="29">
        <f>COUNTIFS(ORIENTE!$A:$A,"San Rafael",ORIENTE!S:S,"BAJO")</f>
        <v>0</v>
      </c>
      <c r="G191" s="48">
        <f>(F191/$B$191)*100</f>
        <v>0</v>
      </c>
      <c r="H191" s="29">
        <f>COUNTIFS(ORIENTE!$A:$A,"San Rafael",ORIENTE!S:S,"MEDIO")</f>
        <v>0</v>
      </c>
      <c r="I191" s="48">
        <f>(H191/$B$191)*100</f>
        <v>0</v>
      </c>
      <c r="J191" s="29">
        <f>COUNTIFS(ORIENTE!$A:$A,"San Rafael",ORIENTE!S:S,"ALTO")</f>
        <v>2</v>
      </c>
      <c r="K191" s="48">
        <f>(J191/$B$191)*100</f>
        <v>11.76470588235294</v>
      </c>
      <c r="L191" s="29">
        <f>COUNTIFS(ORIENTE!$A:$A,"San Rafael",ORIENTE!S:S,"INVIABLE SANITARIAMENTE")</f>
        <v>15</v>
      </c>
      <c r="M191" s="48">
        <f>(L191/$B$191)*100</f>
        <v>88.235294117647058</v>
      </c>
      <c r="N191" s="205">
        <f t="shared" si="19"/>
        <v>0</v>
      </c>
      <c r="O191" s="48">
        <f>(N191/$B$191)*100</f>
        <v>0</v>
      </c>
    </row>
    <row r="192" spans="1:15" ht="15.75">
      <c r="A192" s="58" t="s">
        <v>218</v>
      </c>
      <c r="B192" s="29">
        <f>'CONSOLIDADO-ACUEDUCTOSRURALES1'!D139</f>
        <v>46</v>
      </c>
      <c r="C192" s="48">
        <f t="shared" si="18"/>
        <v>8.3941605839416056</v>
      </c>
      <c r="D192" s="29">
        <f>COUNTIFS(ORIENTE!$A:$A,"San Vicente",ORIENTE!S:S,"SIN RIESGO")</f>
        <v>36</v>
      </c>
      <c r="E192" s="48">
        <f>(D192/$B$192)*100</f>
        <v>78.260869565217391</v>
      </c>
      <c r="F192" s="29">
        <f>COUNTIFS(ORIENTE!$A:$A,"San Vicente",ORIENTE!S:S,"BAJO")</f>
        <v>0</v>
      </c>
      <c r="G192" s="48">
        <f>(F192/$B$192)*100</f>
        <v>0</v>
      </c>
      <c r="H192" s="29">
        <f>COUNTIFS(ORIENTE!$A:$A,"San Vicente",ORIENTE!S:S,"MEDIO")</f>
        <v>0</v>
      </c>
      <c r="I192" s="48">
        <f>(H192/$B$192)*100</f>
        <v>0</v>
      </c>
      <c r="J192" s="29">
        <f>COUNTIFS(ORIENTE!$A:$A,"San Vicente",ORIENTE!S:S,"ALTO")</f>
        <v>0</v>
      </c>
      <c r="K192" s="48">
        <f>(J192/$B$192)*100</f>
        <v>0</v>
      </c>
      <c r="L192" s="29">
        <f>COUNTIFS(ORIENTE!$A:$A,"San Vicente",ORIENTE!S:S,"INVIABLE SANITARIAMENTE")</f>
        <v>0</v>
      </c>
      <c r="M192" s="48">
        <f>(L192/$B$192)*100</f>
        <v>0</v>
      </c>
      <c r="N192" s="205">
        <f t="shared" si="19"/>
        <v>10</v>
      </c>
      <c r="O192" s="48">
        <f>(N192/$B$192)*100</f>
        <v>21.739130434782609</v>
      </c>
    </row>
    <row r="193" spans="1:15" ht="15.75">
      <c r="A193" s="58" t="s">
        <v>219</v>
      </c>
      <c r="B193" s="29">
        <f>'CONSOLIDADO-ACUEDUCTOSRURALES1'!D140</f>
        <v>24</v>
      </c>
      <c r="C193" s="48">
        <f t="shared" si="18"/>
        <v>4.3795620437956204</v>
      </c>
      <c r="D193" s="29">
        <f>COUNTIFS(ORIENTE!$A:$A,"Sonsón",ORIENTE!S:S,"SIN RIESGO")</f>
        <v>1</v>
      </c>
      <c r="E193" s="48">
        <f>(D193/$B$193)*100</f>
        <v>4.1666666666666661</v>
      </c>
      <c r="F193" s="29">
        <f>COUNTIFS(ORIENTE!$A:$A,"Sonsón",ORIENTE!S:S,"BAJO")</f>
        <v>0</v>
      </c>
      <c r="G193" s="48">
        <f>(F193/$B$193)*100</f>
        <v>0</v>
      </c>
      <c r="H193" s="29">
        <f>COUNTIFS(ORIENTE!$A:$A,"Sonsón",ORIENTE!S:S,"MEDIO")</f>
        <v>1</v>
      </c>
      <c r="I193" s="48">
        <f>(H193/$B$193)*100</f>
        <v>4.1666666666666661</v>
      </c>
      <c r="J193" s="29">
        <f>COUNTIFS(ORIENTE!$A:$A,"Sonsón",ORIENTE!S:S,"ALTO")</f>
        <v>0</v>
      </c>
      <c r="K193" s="48">
        <f>(J193/$B$193)*100</f>
        <v>0</v>
      </c>
      <c r="L193" s="29">
        <f>COUNTIFS(ORIENTE!$A:$A,"Sonsón",ORIENTE!S:S,"INVIABLE SANITARIAMENTE")</f>
        <v>22</v>
      </c>
      <c r="M193" s="48">
        <f>(L193/$B$193)*100</f>
        <v>91.666666666666657</v>
      </c>
      <c r="N193" s="205">
        <f t="shared" si="19"/>
        <v>0</v>
      </c>
      <c r="O193" s="48">
        <f>(N193/$B$193)*100</f>
        <v>0</v>
      </c>
    </row>
    <row r="194" spans="1:15" ht="28.5" customHeight="1">
      <c r="A194" s="71" t="s">
        <v>220</v>
      </c>
      <c r="B194" s="72">
        <f>SUM(B171:B193)</f>
        <v>548</v>
      </c>
      <c r="C194" s="73">
        <f>SUM(C171:C193)</f>
        <v>99.999999999999986</v>
      </c>
      <c r="D194" s="72">
        <f>SUM(D171:D193)</f>
        <v>187</v>
      </c>
      <c r="E194" s="73">
        <f>(D194/$B$194)*100</f>
        <v>34.124087591240873</v>
      </c>
      <c r="F194" s="72">
        <f>SUM(F171:F193)</f>
        <v>37</v>
      </c>
      <c r="G194" s="73">
        <f>(F194/$B$194)*100</f>
        <v>6.7518248175182478</v>
      </c>
      <c r="H194" s="72">
        <f>SUM(H171:H193)</f>
        <v>36</v>
      </c>
      <c r="I194" s="73">
        <f>(H194/$B$194)*100</f>
        <v>6.5693430656934311</v>
      </c>
      <c r="J194" s="72">
        <f>SUM(J171:J193)</f>
        <v>83</v>
      </c>
      <c r="K194" s="73">
        <f>(J194/$B$194)*100</f>
        <v>15.145985401459855</v>
      </c>
      <c r="L194" s="72">
        <f>SUM(L171:L193)</f>
        <v>155</v>
      </c>
      <c r="M194" s="73">
        <f>(L194/$B$194)*100</f>
        <v>28.284671532846716</v>
      </c>
      <c r="N194" s="72">
        <f>SUM(N171:N193)</f>
        <v>50</v>
      </c>
      <c r="O194" s="73">
        <f>(N194/$B$194)*100</f>
        <v>9.1240875912408761</v>
      </c>
    </row>
    <row r="197" spans="1:15" ht="33.75" customHeight="1">
      <c r="A197" s="728" t="s">
        <v>4479</v>
      </c>
      <c r="B197" s="728"/>
      <c r="C197" s="728"/>
      <c r="D197" s="728"/>
      <c r="E197" s="728"/>
      <c r="F197" s="728"/>
      <c r="G197" s="728"/>
      <c r="H197" s="728"/>
      <c r="I197" s="728"/>
      <c r="J197" s="728"/>
      <c r="K197" s="728"/>
      <c r="L197" s="728"/>
      <c r="M197" s="728"/>
      <c r="N197" s="728"/>
      <c r="O197" s="728"/>
    </row>
    <row r="198" spans="1:15" ht="78" customHeight="1">
      <c r="A198" s="243" t="s">
        <v>250</v>
      </c>
      <c r="B198" s="68" t="s">
        <v>249</v>
      </c>
      <c r="C198" s="243" t="s">
        <v>101</v>
      </c>
      <c r="D198" s="249" t="s">
        <v>243</v>
      </c>
      <c r="E198" s="243" t="s">
        <v>101</v>
      </c>
      <c r="F198" s="250" t="s">
        <v>244</v>
      </c>
      <c r="G198" s="243" t="s">
        <v>101</v>
      </c>
      <c r="H198" s="251" t="s">
        <v>245</v>
      </c>
      <c r="I198" s="243" t="s">
        <v>101</v>
      </c>
      <c r="J198" s="252" t="s">
        <v>246</v>
      </c>
      <c r="K198" s="243" t="s">
        <v>101</v>
      </c>
      <c r="L198" s="253" t="s">
        <v>247</v>
      </c>
      <c r="M198" s="243" t="s">
        <v>101</v>
      </c>
      <c r="N198" s="68" t="s">
        <v>3887</v>
      </c>
      <c r="O198" s="243" t="s">
        <v>101</v>
      </c>
    </row>
    <row r="199" spans="1:15" ht="15.75">
      <c r="A199" s="74" t="s">
        <v>242</v>
      </c>
      <c r="B199" s="244">
        <f>'CONSOLIDADO-ACUEDUCTOSRURALES1'!D18</f>
        <v>200</v>
      </c>
      <c r="C199" s="54">
        <f t="shared" ref="C199:C207" si="20">(B199/$B$17)*100</f>
        <v>8.4709868699703517</v>
      </c>
      <c r="D199" s="244">
        <f>'VALLE DE ABURRA'!B215</f>
        <v>424</v>
      </c>
      <c r="E199" s="54">
        <f>(D199/$D$208)*100</f>
        <v>25.073920756948553</v>
      </c>
      <c r="F199" s="245">
        <f>'VALLE DE ABURRA'!B216</f>
        <v>51</v>
      </c>
      <c r="G199" s="54">
        <f>(F199/$F$208)*100</f>
        <v>55.434782608695656</v>
      </c>
      <c r="H199" s="245">
        <f>'VALLE DE ABURRA'!B217</f>
        <v>196</v>
      </c>
      <c r="I199" s="54">
        <f>(H199/$H$208)*100</f>
        <v>41.090146750524106</v>
      </c>
      <c r="J199" s="245">
        <f>'VALLE DE ABURRA'!B218</f>
        <v>123</v>
      </c>
      <c r="K199" s="54">
        <f>(J199/$J$208)*100</f>
        <v>18.249258160237389</v>
      </c>
      <c r="L199" s="245">
        <f>'VALLE DE ABURRA'!B219</f>
        <v>90</v>
      </c>
      <c r="M199" s="54">
        <f>(L199/$L$208)*100</f>
        <v>5.6890012642225036</v>
      </c>
      <c r="N199" s="244">
        <f>D199+F199+H199+J199+L199</f>
        <v>884</v>
      </c>
      <c r="O199" s="54">
        <f>(N199/$N$208)*100</f>
        <v>19.574844995571304</v>
      </c>
    </row>
    <row r="200" spans="1:15" ht="15.75">
      <c r="A200" s="45" t="s">
        <v>221</v>
      </c>
      <c r="B200" s="244">
        <f>'CONSOLIDADO-ACUEDUCTOSRURALES1'!D30</f>
        <v>109</v>
      </c>
      <c r="C200" s="54">
        <f t="shared" si="20"/>
        <v>4.6166878441338417</v>
      </c>
      <c r="D200" s="244">
        <f>URABA!B123</f>
        <v>57</v>
      </c>
      <c r="E200" s="54">
        <f t="shared" ref="E200:E207" si="21">(D200/$D$208)*100</f>
        <v>3.3707865168539324</v>
      </c>
      <c r="F200" s="245">
        <f>URABA!B124</f>
        <v>4</v>
      </c>
      <c r="G200" s="54">
        <f t="shared" ref="G200:G207" si="22">(F200/$F$208)*100</f>
        <v>4.3478260869565215</v>
      </c>
      <c r="H200" s="245">
        <f>URABA!B125</f>
        <v>6</v>
      </c>
      <c r="I200" s="54">
        <f t="shared" ref="I200:I207" si="23">(H200/$H$208)*100</f>
        <v>1.257861635220126</v>
      </c>
      <c r="J200" s="245">
        <f>URABA!B126</f>
        <v>25</v>
      </c>
      <c r="K200" s="54">
        <f t="shared" ref="K200:K207" si="24">(J200/$J$208)*100</f>
        <v>3.7091988130563793</v>
      </c>
      <c r="L200" s="245">
        <f>URABA!B127</f>
        <v>78</v>
      </c>
      <c r="M200" s="54">
        <f t="shared" ref="M200:M207" si="25">(L200/$L$208)*100</f>
        <v>4.9304677623261695</v>
      </c>
      <c r="N200" s="245">
        <f t="shared" ref="N200:N207" si="26">D200+F200+H200+J200+L200</f>
        <v>170</v>
      </c>
      <c r="O200" s="54">
        <f t="shared" ref="O200:O207" si="27">(N200/$N$208)*100</f>
        <v>3.7643932683790968</v>
      </c>
    </row>
    <row r="201" spans="1:15" ht="15.75">
      <c r="A201" s="45" t="s">
        <v>222</v>
      </c>
      <c r="B201" s="244">
        <f>'CONSOLIDADO-ACUEDUCTOSRURALES1'!D48</f>
        <v>254</v>
      </c>
      <c r="C201" s="54">
        <f t="shared" si="20"/>
        <v>10.758153324862347</v>
      </c>
      <c r="D201" s="245">
        <f>NORTE!B268</f>
        <v>87</v>
      </c>
      <c r="E201" s="54">
        <f t="shared" si="21"/>
        <v>5.1448846836191597</v>
      </c>
      <c r="F201" s="245">
        <f>NORTE!B269</f>
        <v>2</v>
      </c>
      <c r="G201" s="54">
        <f t="shared" si="22"/>
        <v>2.1739130434782608</v>
      </c>
      <c r="H201" s="245">
        <f>NORTE!B270</f>
        <v>52</v>
      </c>
      <c r="I201" s="54">
        <f t="shared" si="23"/>
        <v>10.90146750524109</v>
      </c>
      <c r="J201" s="245">
        <f>NORTE!B271</f>
        <v>119</v>
      </c>
      <c r="K201" s="54">
        <f t="shared" si="24"/>
        <v>17.655786350148368</v>
      </c>
      <c r="L201" s="245">
        <f>NORTE!B272</f>
        <v>153</v>
      </c>
      <c r="M201" s="54">
        <f t="shared" si="25"/>
        <v>9.6713021491782563</v>
      </c>
      <c r="N201" s="245">
        <f t="shared" si="26"/>
        <v>413</v>
      </c>
      <c r="O201" s="54">
        <f t="shared" si="27"/>
        <v>9.1452612931798054</v>
      </c>
    </row>
    <row r="202" spans="1:15" ht="15.75">
      <c r="A202" s="228" t="s">
        <v>223</v>
      </c>
      <c r="B202" s="229">
        <f>'CONSOLIDADO-ACUEDUCTOSRURALES1'!D68</f>
        <v>493</v>
      </c>
      <c r="C202" s="230">
        <f t="shared" si="20"/>
        <v>20.880982634476915</v>
      </c>
      <c r="D202" s="229">
        <f>OCCIDENTE!B507</f>
        <v>83</v>
      </c>
      <c r="E202" s="54">
        <f t="shared" si="21"/>
        <v>4.9083382613837969</v>
      </c>
      <c r="F202" s="229">
        <f>OCCIDENTE!B508</f>
        <v>1</v>
      </c>
      <c r="G202" s="54">
        <f t="shared" si="22"/>
        <v>1.0869565217391304</v>
      </c>
      <c r="H202" s="229">
        <f>OCCIDENTE!B509</f>
        <v>4</v>
      </c>
      <c r="I202" s="54">
        <f t="shared" si="23"/>
        <v>0.83857442348008393</v>
      </c>
      <c r="J202" s="229">
        <f>OCCIDENTE!B510</f>
        <v>65</v>
      </c>
      <c r="K202" s="54">
        <f t="shared" si="24"/>
        <v>9.6439169139465868</v>
      </c>
      <c r="L202" s="229">
        <f>OCCIDENTE!B511</f>
        <v>485</v>
      </c>
      <c r="M202" s="54">
        <f t="shared" si="25"/>
        <v>30.657395701643491</v>
      </c>
      <c r="N202" s="245">
        <f>D202+F202+H202+J202+L202</f>
        <v>638</v>
      </c>
      <c r="O202" s="54">
        <f t="shared" si="27"/>
        <v>14.127546501328608</v>
      </c>
    </row>
    <row r="203" spans="1:15" ht="15.75">
      <c r="A203" s="228" t="s">
        <v>224</v>
      </c>
      <c r="B203" s="229">
        <f>'CONSOLIDADO-ACUEDUCTOSRURALES1'!D92</f>
        <v>510</v>
      </c>
      <c r="C203" s="230">
        <f t="shared" si="20"/>
        <v>21.601016518424395</v>
      </c>
      <c r="D203" s="229">
        <f>SUROESTE!B524</f>
        <v>206</v>
      </c>
      <c r="E203" s="54">
        <f t="shared" si="21"/>
        <v>12.182140745121229</v>
      </c>
      <c r="F203" s="229">
        <f>SUROESTE!B525</f>
        <v>0</v>
      </c>
      <c r="G203" s="54">
        <f t="shared" si="22"/>
        <v>0</v>
      </c>
      <c r="H203" s="229">
        <f>SUROESTE!B526</f>
        <v>64</v>
      </c>
      <c r="I203" s="54">
        <f t="shared" si="23"/>
        <v>13.417190775681343</v>
      </c>
      <c r="J203" s="229">
        <f>SUROESTE!B527</f>
        <v>163</v>
      </c>
      <c r="K203" s="54">
        <f t="shared" si="24"/>
        <v>24.183976261127597</v>
      </c>
      <c r="L203" s="229">
        <f>SUROESTE!B528</f>
        <v>355</v>
      </c>
      <c r="M203" s="54">
        <f t="shared" si="25"/>
        <v>22.439949431099873</v>
      </c>
      <c r="N203" s="245">
        <f t="shared" si="26"/>
        <v>788</v>
      </c>
      <c r="O203" s="54">
        <f t="shared" si="27"/>
        <v>17.449069973427811</v>
      </c>
    </row>
    <row r="204" spans="1:15" ht="15.75">
      <c r="A204" s="228" t="s">
        <v>225</v>
      </c>
      <c r="B204" s="229">
        <f>'CONSOLIDADO-ACUEDUCTOSRURALES1'!D99</f>
        <v>57</v>
      </c>
      <c r="C204" s="230">
        <f t="shared" si="20"/>
        <v>2.4142312579415499</v>
      </c>
      <c r="D204" s="229">
        <f>'BAJO CAUCA'!B70</f>
        <v>4</v>
      </c>
      <c r="E204" s="54">
        <f t="shared" si="21"/>
        <v>0.23654642223536371</v>
      </c>
      <c r="F204" s="229">
        <f>'BAJO CAUCA'!B71</f>
        <v>0</v>
      </c>
      <c r="G204" s="54">
        <f t="shared" si="22"/>
        <v>0</v>
      </c>
      <c r="H204" s="229">
        <f>'BAJO CAUCA'!B72</f>
        <v>3</v>
      </c>
      <c r="I204" s="54">
        <f t="shared" si="23"/>
        <v>0.62893081761006298</v>
      </c>
      <c r="J204" s="229">
        <f>'BAJO CAUCA'!B73</f>
        <v>8</v>
      </c>
      <c r="K204" s="54">
        <f t="shared" si="24"/>
        <v>1.1869436201780417</v>
      </c>
      <c r="L204" s="229">
        <f>'BAJO CAUCA'!B74</f>
        <v>49</v>
      </c>
      <c r="M204" s="54">
        <f t="shared" si="25"/>
        <v>3.0973451327433628</v>
      </c>
      <c r="N204" s="245">
        <f t="shared" si="26"/>
        <v>64</v>
      </c>
      <c r="O204" s="54">
        <f t="shared" si="27"/>
        <v>1.4171833480956599</v>
      </c>
    </row>
    <row r="205" spans="1:15" ht="15.75">
      <c r="A205" s="228" t="s">
        <v>226</v>
      </c>
      <c r="B205" s="229">
        <f>'CONSOLIDADO-ACUEDUCTOSRURALES1'!D106</f>
        <v>75</v>
      </c>
      <c r="C205" s="230">
        <f t="shared" si="20"/>
        <v>3.1766200762388821</v>
      </c>
      <c r="D205" s="229">
        <f>'MAGDALENA MEDIO'!B88</f>
        <v>57</v>
      </c>
      <c r="E205" s="54">
        <f t="shared" si="21"/>
        <v>3.3707865168539324</v>
      </c>
      <c r="F205" s="229">
        <f>'MAGDALENA MEDIO'!B89</f>
        <v>3</v>
      </c>
      <c r="G205" s="54">
        <f t="shared" si="22"/>
        <v>3.2608695652173911</v>
      </c>
      <c r="H205" s="229">
        <f>'MAGDALENA MEDIO'!B90</f>
        <v>11</v>
      </c>
      <c r="I205" s="54">
        <f t="shared" si="23"/>
        <v>2.3060796645702304</v>
      </c>
      <c r="J205" s="229">
        <f>'MAGDALENA MEDIO'!B91</f>
        <v>29</v>
      </c>
      <c r="K205" s="54">
        <f t="shared" si="24"/>
        <v>4.3026706231454011</v>
      </c>
      <c r="L205" s="229">
        <f>'MAGDALENA MEDIO'!B92</f>
        <v>21</v>
      </c>
      <c r="M205" s="54">
        <f t="shared" si="25"/>
        <v>1.3274336283185841</v>
      </c>
      <c r="N205" s="245">
        <f t="shared" si="26"/>
        <v>121</v>
      </c>
      <c r="O205" s="54">
        <f t="shared" si="27"/>
        <v>2.679362267493357</v>
      </c>
    </row>
    <row r="206" spans="1:15" ht="15.75">
      <c r="A206" s="228" t="s">
        <v>227</v>
      </c>
      <c r="B206" s="229">
        <f>'CONSOLIDADO-ACUEDUCTOSRURALES1'!D117</f>
        <v>115</v>
      </c>
      <c r="C206" s="230">
        <f t="shared" si="20"/>
        <v>4.870817450232952</v>
      </c>
      <c r="D206" s="229">
        <f>NORDESTE!B130</f>
        <v>36</v>
      </c>
      <c r="E206" s="54">
        <f t="shared" si="21"/>
        <v>2.1289178001182734</v>
      </c>
      <c r="F206" s="229">
        <f>NORDESTE!B131</f>
        <v>0</v>
      </c>
      <c r="G206" s="54">
        <f t="shared" si="22"/>
        <v>0</v>
      </c>
      <c r="H206" s="229">
        <f>NORDESTE!B132</f>
        <v>3</v>
      </c>
      <c r="I206" s="54">
        <f t="shared" si="23"/>
        <v>0.62893081761006298</v>
      </c>
      <c r="J206" s="229">
        <f>NORDESTE!B133</f>
        <v>7</v>
      </c>
      <c r="K206" s="54">
        <f t="shared" si="24"/>
        <v>1.0385756676557862</v>
      </c>
      <c r="L206" s="229">
        <f>NORDESTE!B134</f>
        <v>133</v>
      </c>
      <c r="M206" s="54">
        <f t="shared" si="25"/>
        <v>8.4070796460176993</v>
      </c>
      <c r="N206" s="245">
        <f t="shared" si="26"/>
        <v>179</v>
      </c>
      <c r="O206" s="54">
        <f t="shared" si="27"/>
        <v>3.9636846767050491</v>
      </c>
    </row>
    <row r="207" spans="1:15" ht="15.75">
      <c r="A207" s="228" t="s">
        <v>228</v>
      </c>
      <c r="B207" s="229">
        <f>'CONSOLIDADO-ACUEDUCTOSRURALES1'!D141</f>
        <v>548</v>
      </c>
      <c r="C207" s="230">
        <f t="shared" si="20"/>
        <v>23.210504023718766</v>
      </c>
      <c r="D207" s="229">
        <f>ORIENTE!B562</f>
        <v>737</v>
      </c>
      <c r="E207" s="54">
        <f t="shared" si="21"/>
        <v>43.583678296865756</v>
      </c>
      <c r="F207" s="229">
        <f>ORIENTE!B563</f>
        <v>31</v>
      </c>
      <c r="G207" s="54">
        <f t="shared" si="22"/>
        <v>33.695652173913047</v>
      </c>
      <c r="H207" s="229">
        <f>ORIENTE!B564</f>
        <v>138</v>
      </c>
      <c r="I207" s="54">
        <f t="shared" si="23"/>
        <v>28.930817610062892</v>
      </c>
      <c r="J207" s="229">
        <f>ORIENTE!B565</f>
        <v>135</v>
      </c>
      <c r="K207" s="54">
        <f t="shared" si="24"/>
        <v>20.029673590504451</v>
      </c>
      <c r="L207" s="229">
        <f>ORIENTE!B566</f>
        <v>218</v>
      </c>
      <c r="M207" s="54">
        <f t="shared" si="25"/>
        <v>13.780025284450062</v>
      </c>
      <c r="N207" s="247">
        <f t="shared" si="26"/>
        <v>1259</v>
      </c>
      <c r="O207" s="54">
        <f t="shared" si="27"/>
        <v>27.878653675819308</v>
      </c>
    </row>
    <row r="208" spans="1:15" ht="21" customHeight="1">
      <c r="A208" s="70" t="s">
        <v>220</v>
      </c>
      <c r="B208" s="248">
        <f>SUM(B199:B207)</f>
        <v>2361</v>
      </c>
      <c r="C208" s="69">
        <f>SUM(C199:C207)</f>
        <v>99.999999999999986</v>
      </c>
      <c r="D208" s="246">
        <f>SUM(D199:D207)</f>
        <v>1691</v>
      </c>
      <c r="E208" s="69">
        <f>(D208/$N$208)*100</f>
        <v>37.44464127546501</v>
      </c>
      <c r="F208" s="246">
        <f>SUM(F199:F207)</f>
        <v>92</v>
      </c>
      <c r="G208" s="69">
        <f>(F208/$N$208)*100</f>
        <v>2.0372010628875112</v>
      </c>
      <c r="H208" s="246">
        <f>SUM(H199:H207)</f>
        <v>477</v>
      </c>
      <c r="I208" s="69">
        <f>(H208/$N$208)*100</f>
        <v>10.562444641275464</v>
      </c>
      <c r="J208" s="246">
        <f>SUM(J199:J207)</f>
        <v>674</v>
      </c>
      <c r="K208" s="69">
        <f>(J208/$N$208)*100</f>
        <v>14.924712134632417</v>
      </c>
      <c r="L208" s="246">
        <f>SUM(L199:L207)</f>
        <v>1582</v>
      </c>
      <c r="M208" s="69">
        <f>(L208/$N$208)*100</f>
        <v>35.031000885739594</v>
      </c>
      <c r="N208" s="248">
        <f>SUM(N199:N207)</f>
        <v>4516</v>
      </c>
      <c r="O208" s="69">
        <f>SUM(O199:O207)</f>
        <v>100</v>
      </c>
    </row>
  </sheetData>
  <sortState ref="A79:O97">
    <sortCondition ref="A79:A97"/>
  </sortState>
  <customSheetViews>
    <customSheetView guid="{75DD7674-E7DE-4BB1-A36D-76AA33452CB3}" scale="60" topLeftCell="C1">
      <selection activeCell="H17" activeCellId="2" sqref="D17 F17 H17"/>
      <pageMargins left="0.70866141732283472" right="0.70866141732283472" top="0.74803149606299213" bottom="0.74803149606299213" header="0.31496062992125984" footer="0.31496062992125984"/>
      <pageSetup paperSize="14" scale="50" orientation="landscape" r:id="rId1"/>
    </customSheetView>
    <customSheetView guid="{AEDE1BDB-8710-4CDA-8488-31F49D423ACE}" scale="70" topLeftCell="A40">
      <selection activeCell="D73" sqref="D73"/>
      <pageMargins left="0.70866141732283472" right="0.70866141732283472" top="0.74803149606299213" bottom="0.74803149606299213" header="0.31496062992125984" footer="0.31496062992125984"/>
      <pageSetup paperSize="14" scale="50" orientation="landscape" r:id="rId2"/>
    </customSheetView>
    <customSheetView guid="{FCC3B493-4306-43B2-9C73-76324485DD47}" scale="60" topLeftCell="A142">
      <selection activeCell="M88" sqref="M88"/>
      <pageMargins left="0.70866141732283472" right="0.70866141732283472" top="0.74803149606299213" bottom="0.74803149606299213" header="0.31496062992125984" footer="0.31496062992125984"/>
      <pageSetup paperSize="14" scale="50" orientation="landscape" r:id="rId3"/>
    </customSheetView>
    <customSheetView guid="{45C8AF51-29EC-46A5-AB7F-1F0634E55D82}" scale="60">
      <pane xSplit="1" ySplit="7" topLeftCell="B134" activePane="bottomRight" state="frozen"/>
      <selection pane="bottomRight" activeCell="H135" sqref="H135"/>
      <pageMargins left="0.70866141732283472" right="0.70866141732283472" top="0.74803149606299213" bottom="0.74803149606299213" header="0.31496062992125984" footer="0.31496062992125984"/>
      <pageSetup paperSize="14" scale="50" orientation="landscape" r:id="rId4"/>
    </customSheetView>
  </customSheetViews>
  <mergeCells count="16">
    <mergeCell ref="A197:O197"/>
    <mergeCell ref="C1:O1"/>
    <mergeCell ref="A141:O141"/>
    <mergeCell ref="A153:O153"/>
    <mergeCell ref="A169:O169"/>
    <mergeCell ref="A22:O22"/>
    <mergeCell ref="A37:O37"/>
    <mergeCell ref="A54:O54"/>
    <mergeCell ref="A77:O77"/>
    <mergeCell ref="A6:O6"/>
    <mergeCell ref="A101:O101"/>
    <mergeCell ref="A130:O130"/>
    <mergeCell ref="C3:O3"/>
    <mergeCell ref="C2:O2"/>
    <mergeCell ref="C4:O4"/>
    <mergeCell ref="C5:O5"/>
  </mergeCells>
  <pageMargins left="0.70866141732283472" right="0.70866141732283472" top="0.74803149606299213" bottom="0.74803149606299213" header="0.31496062992125984" footer="0.31496062992125984"/>
  <pageSetup paperSize="14" scale="50" orientation="landscape" r:id="rId5"/>
  <ignoredErrors>
    <ignoredError sqref="M208 K208 I208 E208" formula="1"/>
  </ignoredErrors>
  <drawing r:id="rId6"/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"/>
  <sheetViews>
    <sheetView workbookViewId="0">
      <selection activeCell="F52" sqref="F52"/>
    </sheetView>
  </sheetViews>
  <sheetFormatPr baseColWidth="10" defaultRowHeight="12.75"/>
  <sheetData/>
  <customSheetViews>
    <customSheetView guid="{75DD7674-E7DE-4BB1-A36D-76AA33452CB3}">
      <selection activeCell="F52" sqref="F52"/>
      <pageMargins left="0.7" right="0.7" top="0.75" bottom="0.75" header="0.3" footer="0.3"/>
    </customSheetView>
    <customSheetView guid="{AEDE1BDB-8710-4CDA-8488-31F49D423ACE}" state="hidden">
      <pageMargins left="0.7" right="0.7" top="0.75" bottom="0.75" header="0.3" footer="0.3"/>
    </customSheetView>
    <customSheetView guid="{FCC3B493-4306-43B2-9C73-76324485DD47}" state="hidden">
      <selection activeCell="F52" sqref="F52"/>
      <pageMargins left="0.7" right="0.7" top="0.75" bottom="0.75" header="0.3" footer="0.3"/>
    </customSheetView>
    <customSheetView guid="{45C8AF51-29EC-46A5-AB7F-1F0634E55D82}" state="hidden">
      <selection activeCell="F52" sqref="F5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"/>
  <sheetViews>
    <sheetView workbookViewId="0"/>
  </sheetViews>
  <sheetFormatPr baseColWidth="10" defaultRowHeight="12.75"/>
  <sheetData/>
  <customSheetViews>
    <customSheetView guid="{75DD7674-E7DE-4BB1-A36D-76AA33452CB3}">
      <pageMargins left="0.7" right="0.7" top="0.75" bottom="0.75" header="0.3" footer="0.3"/>
    </customSheetView>
    <customSheetView guid="{AEDE1BDB-8710-4CDA-8488-31F49D423ACE}" state="hidden">
      <pageMargins left="0.7" right="0.7" top="0.75" bottom="0.75" header="0.3" footer="0.3"/>
    </customSheetView>
    <customSheetView guid="{FCC3B493-4306-43B2-9C73-76324485DD47}" state="hidden">
      <pageMargins left="0.7" right="0.7" top="0.75" bottom="0.75" header="0.3" footer="0.3"/>
    </customSheetView>
    <customSheetView guid="{45C8AF51-29EC-46A5-AB7F-1F0634E55D8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/>
  </sheetPr>
  <dimension ref="A1:W503"/>
  <sheetViews>
    <sheetView zoomScale="70" zoomScaleNormal="70" workbookViewId="0">
      <selection activeCell="S11" sqref="S11"/>
    </sheetView>
  </sheetViews>
  <sheetFormatPr baseColWidth="10" defaultColWidth="0" defaultRowHeight="12.75" zeroHeight="1"/>
  <cols>
    <col min="1" max="1" width="37.28515625" style="34" customWidth="1"/>
    <col min="2" max="2" width="54.7109375" style="14" customWidth="1"/>
    <col min="3" max="3" width="55.42578125" style="14" customWidth="1"/>
    <col min="4" max="4" width="26.5703125" style="13" customWidth="1"/>
    <col min="5" max="18" width="10.7109375" style="13" customWidth="1"/>
    <col min="19" max="19" width="42.42578125" style="13" bestFit="1" customWidth="1"/>
    <col min="20" max="20" width="9.85546875" style="13" hidden="1" customWidth="1"/>
    <col min="21" max="16384" width="11.42578125" style="13" hidden="1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4455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19.5" customHeight="1">
      <c r="A5" s="109"/>
      <c r="B5" s="694" t="s">
        <v>4477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9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32" customFormat="1" ht="12" customHeight="1">
      <c r="A7" s="697"/>
      <c r="B7" s="697"/>
      <c r="C7" s="42"/>
      <c r="D7" s="9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</row>
    <row r="8" spans="1:23" s="32" customFormat="1" ht="27" customHeight="1">
      <c r="A8" s="391" t="s">
        <v>4343</v>
      </c>
      <c r="B8" s="154"/>
      <c r="C8" s="175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74"/>
    </row>
    <row r="9" spans="1:23" s="10" customFormat="1" ht="18" customHeight="1">
      <c r="A9" s="698" t="s">
        <v>37</v>
      </c>
      <c r="B9" s="696" t="s">
        <v>38</v>
      </c>
      <c r="C9" s="696" t="s">
        <v>254</v>
      </c>
      <c r="D9" s="715" t="s">
        <v>402</v>
      </c>
      <c r="E9" s="705" t="s">
        <v>33</v>
      </c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13" t="s">
        <v>34</v>
      </c>
      <c r="R9" s="713" t="s">
        <v>36</v>
      </c>
      <c r="S9" s="696" t="s">
        <v>35</v>
      </c>
      <c r="T9" s="11"/>
    </row>
    <row r="10" spans="1:23" s="10" customFormat="1" ht="24" customHeight="1">
      <c r="A10" s="698"/>
      <c r="B10" s="696"/>
      <c r="C10" s="696"/>
      <c r="D10" s="716"/>
      <c r="E10" s="153" t="s">
        <v>21</v>
      </c>
      <c r="F10" s="153" t="s">
        <v>22</v>
      </c>
      <c r="G10" s="153" t="s">
        <v>23</v>
      </c>
      <c r="H10" s="153" t="s">
        <v>24</v>
      </c>
      <c r="I10" s="153" t="s">
        <v>25</v>
      </c>
      <c r="J10" s="153" t="s">
        <v>26</v>
      </c>
      <c r="K10" s="153" t="s">
        <v>27</v>
      </c>
      <c r="L10" s="153" t="s">
        <v>28</v>
      </c>
      <c r="M10" s="153" t="s">
        <v>29</v>
      </c>
      <c r="N10" s="153" t="s">
        <v>30</v>
      </c>
      <c r="O10" s="153" t="s">
        <v>31</v>
      </c>
      <c r="P10" s="153" t="s">
        <v>32</v>
      </c>
      <c r="Q10" s="713"/>
      <c r="R10" s="714"/>
      <c r="S10" s="701"/>
      <c r="T10" s="11"/>
    </row>
    <row r="11" spans="1:23" ht="32.1" customHeight="1">
      <c r="A11" s="564" t="s">
        <v>3759</v>
      </c>
      <c r="B11" s="565" t="s">
        <v>449</v>
      </c>
      <c r="C11" s="564" t="s">
        <v>3272</v>
      </c>
      <c r="D11" s="304">
        <v>1780</v>
      </c>
      <c r="E11" s="47"/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314">
        <f t="shared" ref="Q11:Q41" si="0">AVERAGE(E11:P11)</f>
        <v>0</v>
      </c>
      <c r="R11" s="315" t="str">
        <f t="shared" ref="R11:R41" si="1">IF(Q11&lt;5,"SI","NO")</f>
        <v>SI</v>
      </c>
      <c r="S11" s="316" t="str">
        <f t="shared" ref="S11:S72" si="2">IF(Q11&lt;5,"Sin Riesgo",IF(Q11 &lt;=14,"Bajo",IF(Q11&lt;=35,"Medio",IF(Q11&lt;=80,"Alto","Inviable Sanitariamente"))))</f>
        <v>Sin Riesgo</v>
      </c>
      <c r="T11" s="15"/>
    </row>
    <row r="12" spans="1:23" ht="32.1" customHeight="1">
      <c r="A12" s="564" t="s">
        <v>3759</v>
      </c>
      <c r="B12" s="565" t="s">
        <v>325</v>
      </c>
      <c r="C12" s="564" t="s">
        <v>3273</v>
      </c>
      <c r="D12" s="304">
        <v>235</v>
      </c>
      <c r="E12" s="47"/>
      <c r="F12" s="47"/>
      <c r="G12" s="47"/>
      <c r="H12" s="47"/>
      <c r="I12" s="47"/>
      <c r="J12" s="47"/>
      <c r="K12" s="47"/>
      <c r="L12" s="47">
        <v>21.88</v>
      </c>
      <c r="M12" s="47"/>
      <c r="N12" s="47"/>
      <c r="O12" s="47"/>
      <c r="P12" s="47"/>
      <c r="Q12" s="314">
        <f t="shared" si="0"/>
        <v>21.88</v>
      </c>
      <c r="R12" s="315" t="str">
        <f t="shared" si="1"/>
        <v>NO</v>
      </c>
      <c r="S12" s="316" t="str">
        <f t="shared" si="2"/>
        <v>Medio</v>
      </c>
      <c r="T12" s="15"/>
    </row>
    <row r="13" spans="1:23" ht="32.1" customHeight="1">
      <c r="A13" s="564" t="s">
        <v>3759</v>
      </c>
      <c r="B13" s="565" t="s">
        <v>324</v>
      </c>
      <c r="C13" s="564" t="s">
        <v>3274</v>
      </c>
      <c r="D13" s="304">
        <v>245</v>
      </c>
      <c r="E13" s="47"/>
      <c r="F13" s="47"/>
      <c r="G13" s="47"/>
      <c r="H13" s="47"/>
      <c r="I13" s="47"/>
      <c r="J13" s="47"/>
      <c r="K13" s="47"/>
      <c r="L13" s="47">
        <v>50.5</v>
      </c>
      <c r="M13" s="47"/>
      <c r="N13" s="47"/>
      <c r="O13" s="47"/>
      <c r="P13" s="47"/>
      <c r="Q13" s="314">
        <f t="shared" si="0"/>
        <v>50.5</v>
      </c>
      <c r="R13" s="315" t="str">
        <f t="shared" si="1"/>
        <v>NO</v>
      </c>
      <c r="S13" s="316" t="str">
        <f t="shared" si="2"/>
        <v>Alto</v>
      </c>
      <c r="T13" s="15"/>
    </row>
    <row r="14" spans="1:23" ht="32.1" customHeight="1">
      <c r="A14" s="564" t="s">
        <v>3759</v>
      </c>
      <c r="B14" s="565" t="s">
        <v>48</v>
      </c>
      <c r="C14" s="564" t="s">
        <v>3275</v>
      </c>
      <c r="D14" s="304">
        <v>465</v>
      </c>
      <c r="E14" s="47"/>
      <c r="F14" s="47"/>
      <c r="G14" s="47"/>
      <c r="H14" s="47"/>
      <c r="I14" s="47"/>
      <c r="J14" s="47"/>
      <c r="K14" s="47"/>
      <c r="L14" s="47">
        <v>29.03</v>
      </c>
      <c r="M14" s="47"/>
      <c r="N14" s="47"/>
      <c r="O14" s="47"/>
      <c r="P14" s="47"/>
      <c r="Q14" s="314">
        <f t="shared" si="0"/>
        <v>29.03</v>
      </c>
      <c r="R14" s="315" t="str">
        <f t="shared" si="1"/>
        <v>NO</v>
      </c>
      <c r="S14" s="316" t="str">
        <f t="shared" si="2"/>
        <v>Medio</v>
      </c>
      <c r="T14" s="15"/>
    </row>
    <row r="15" spans="1:23" ht="32.1" customHeight="1">
      <c r="A15" s="564" t="s">
        <v>3759</v>
      </c>
      <c r="B15" s="565" t="s">
        <v>450</v>
      </c>
      <c r="C15" s="564" t="s">
        <v>3276</v>
      </c>
      <c r="D15" s="304">
        <v>23</v>
      </c>
      <c r="E15" s="47"/>
      <c r="F15" s="47"/>
      <c r="G15" s="47"/>
      <c r="H15" s="47"/>
      <c r="I15" s="47"/>
      <c r="J15" s="47"/>
      <c r="K15" s="47"/>
      <c r="L15" s="47">
        <v>35</v>
      </c>
      <c r="M15" s="47"/>
      <c r="N15" s="47"/>
      <c r="O15" s="47"/>
      <c r="P15" s="47"/>
      <c r="Q15" s="314">
        <f t="shared" si="0"/>
        <v>35</v>
      </c>
      <c r="R15" s="315" t="str">
        <f t="shared" si="1"/>
        <v>NO</v>
      </c>
      <c r="S15" s="316" t="str">
        <f t="shared" si="2"/>
        <v>Medio</v>
      </c>
      <c r="T15" s="15"/>
    </row>
    <row r="16" spans="1:23" ht="32.1" customHeight="1">
      <c r="A16" s="564" t="s">
        <v>3759</v>
      </c>
      <c r="B16" s="565" t="s">
        <v>3277</v>
      </c>
      <c r="C16" s="564" t="s">
        <v>3278</v>
      </c>
      <c r="D16" s="304">
        <v>204</v>
      </c>
      <c r="E16" s="47"/>
      <c r="F16" s="47"/>
      <c r="G16" s="47"/>
      <c r="H16" s="47"/>
      <c r="I16" s="47"/>
      <c r="J16" s="47"/>
      <c r="K16" s="47"/>
      <c r="L16" s="47">
        <v>75</v>
      </c>
      <c r="M16" s="47"/>
      <c r="N16" s="47"/>
      <c r="O16" s="47"/>
      <c r="P16" s="47"/>
      <c r="Q16" s="314">
        <f t="shared" si="0"/>
        <v>75</v>
      </c>
      <c r="R16" s="315" t="str">
        <f t="shared" si="1"/>
        <v>NO</v>
      </c>
      <c r="S16" s="316" t="str">
        <f t="shared" si="2"/>
        <v>Alto</v>
      </c>
      <c r="T16" s="15"/>
    </row>
    <row r="17" spans="1:20" ht="32.1" customHeight="1">
      <c r="A17" s="564" t="s">
        <v>3759</v>
      </c>
      <c r="B17" s="565" t="s">
        <v>323</v>
      </c>
      <c r="C17" s="564" t="s">
        <v>3279</v>
      </c>
      <c r="D17" s="304">
        <v>217</v>
      </c>
      <c r="E17" s="47"/>
      <c r="F17" s="47"/>
      <c r="G17" s="47"/>
      <c r="H17" s="47"/>
      <c r="I17" s="47"/>
      <c r="J17" s="47"/>
      <c r="K17" s="47"/>
      <c r="L17" s="47">
        <v>84.5</v>
      </c>
      <c r="M17" s="47"/>
      <c r="N17" s="47"/>
      <c r="O17" s="47"/>
      <c r="P17" s="47"/>
      <c r="Q17" s="314">
        <f>AVERAGE(E17:P17)</f>
        <v>84.5</v>
      </c>
      <c r="R17" s="315" t="str">
        <f t="shared" si="1"/>
        <v>NO</v>
      </c>
      <c r="S17" s="316" t="str">
        <f t="shared" si="2"/>
        <v>Inviable Sanitariamente</v>
      </c>
      <c r="T17" s="15"/>
    </row>
    <row r="18" spans="1:20" ht="32.1" customHeight="1">
      <c r="A18" s="564" t="s">
        <v>3759</v>
      </c>
      <c r="B18" s="565" t="s">
        <v>322</v>
      </c>
      <c r="C18" s="564" t="s">
        <v>3280</v>
      </c>
      <c r="D18" s="317">
        <v>475</v>
      </c>
      <c r="E18" s="47"/>
      <c r="F18" s="47"/>
      <c r="G18" s="47"/>
      <c r="H18" s="47"/>
      <c r="I18" s="47"/>
      <c r="J18" s="47"/>
      <c r="K18" s="47"/>
      <c r="L18" s="47">
        <v>74.73</v>
      </c>
      <c r="M18" s="47"/>
      <c r="N18" s="47"/>
      <c r="O18" s="47"/>
      <c r="P18" s="47"/>
      <c r="Q18" s="314">
        <f t="shared" si="0"/>
        <v>74.73</v>
      </c>
      <c r="R18" s="315" t="str">
        <f t="shared" si="1"/>
        <v>NO</v>
      </c>
      <c r="S18" s="316" t="str">
        <f t="shared" si="2"/>
        <v>Alto</v>
      </c>
      <c r="T18" s="15"/>
    </row>
    <row r="19" spans="1:20" ht="32.1" customHeight="1">
      <c r="A19" s="564" t="s">
        <v>3759</v>
      </c>
      <c r="B19" s="565" t="s">
        <v>473</v>
      </c>
      <c r="C19" s="564" t="s">
        <v>3281</v>
      </c>
      <c r="D19" s="304">
        <v>375</v>
      </c>
      <c r="E19" s="47"/>
      <c r="F19" s="47"/>
      <c r="G19" s="47"/>
      <c r="H19" s="47"/>
      <c r="I19" s="47"/>
      <c r="J19" s="47"/>
      <c r="K19" s="47"/>
      <c r="L19" s="47">
        <v>0</v>
      </c>
      <c r="M19" s="47"/>
      <c r="N19" s="47"/>
      <c r="O19" s="47"/>
      <c r="P19" s="47"/>
      <c r="Q19" s="314">
        <f>AVERAGE(E19:P19)</f>
        <v>0</v>
      </c>
      <c r="R19" s="315" t="str">
        <f t="shared" si="1"/>
        <v>SI</v>
      </c>
      <c r="S19" s="316" t="str">
        <f t="shared" si="2"/>
        <v>Sin Riesgo</v>
      </c>
      <c r="T19" s="15"/>
    </row>
    <row r="20" spans="1:20" ht="32.1" customHeight="1">
      <c r="A20" s="564" t="s">
        <v>3759</v>
      </c>
      <c r="B20" s="565" t="s">
        <v>4180</v>
      </c>
      <c r="C20" s="564" t="s">
        <v>4181</v>
      </c>
      <c r="D20" s="304">
        <v>97</v>
      </c>
      <c r="E20" s="47"/>
      <c r="F20" s="47"/>
      <c r="G20" s="47"/>
      <c r="H20" s="47"/>
      <c r="I20" s="47"/>
      <c r="J20" s="47"/>
      <c r="K20" s="47"/>
      <c r="L20" s="47">
        <v>82.05</v>
      </c>
      <c r="M20" s="47"/>
      <c r="N20" s="47"/>
      <c r="O20" s="47"/>
      <c r="P20" s="47"/>
      <c r="Q20" s="314">
        <f t="shared" si="0"/>
        <v>82.05</v>
      </c>
      <c r="R20" s="315" t="str">
        <f t="shared" si="1"/>
        <v>NO</v>
      </c>
      <c r="S20" s="316" t="str">
        <f t="shared" si="2"/>
        <v>Inviable Sanitariamente</v>
      </c>
      <c r="T20" s="15"/>
    </row>
    <row r="21" spans="1:20" ht="32.1" customHeight="1">
      <c r="A21" s="404" t="s">
        <v>112</v>
      </c>
      <c r="B21" s="302" t="s">
        <v>56</v>
      </c>
      <c r="C21" s="400" t="s">
        <v>3282</v>
      </c>
      <c r="D21" s="396">
        <v>320</v>
      </c>
      <c r="E21" s="47"/>
      <c r="F21" s="47"/>
      <c r="G21" s="47">
        <v>96.39</v>
      </c>
      <c r="H21" s="47"/>
      <c r="I21" s="47"/>
      <c r="J21" s="47"/>
      <c r="K21" s="47"/>
      <c r="L21" s="47"/>
      <c r="M21" s="47"/>
      <c r="N21" s="47"/>
      <c r="O21" s="47"/>
      <c r="P21" s="47"/>
      <c r="Q21" s="314">
        <f t="shared" si="0"/>
        <v>96.39</v>
      </c>
      <c r="R21" s="315" t="str">
        <f t="shared" si="1"/>
        <v>NO</v>
      </c>
      <c r="S21" s="316" t="str">
        <f t="shared" si="2"/>
        <v>Inviable Sanitariamente</v>
      </c>
      <c r="T21" s="15"/>
    </row>
    <row r="22" spans="1:20" ht="32.1" customHeight="1">
      <c r="A22" s="562" t="s">
        <v>112</v>
      </c>
      <c r="B22" s="563" t="s">
        <v>235</v>
      </c>
      <c r="C22" s="573" t="s">
        <v>3283</v>
      </c>
      <c r="D22" s="304">
        <v>98</v>
      </c>
      <c r="E22" s="47"/>
      <c r="F22" s="47"/>
      <c r="G22" s="47"/>
      <c r="H22" s="47">
        <v>100</v>
      </c>
      <c r="I22" s="47"/>
      <c r="J22" s="47"/>
      <c r="K22" s="47"/>
      <c r="L22" s="47"/>
      <c r="M22" s="47"/>
      <c r="N22" s="47"/>
      <c r="O22" s="47"/>
      <c r="P22" s="47"/>
      <c r="Q22" s="314">
        <f t="shared" si="0"/>
        <v>100</v>
      </c>
      <c r="R22" s="315" t="str">
        <f t="shared" si="1"/>
        <v>NO</v>
      </c>
      <c r="S22" s="316" t="str">
        <f t="shared" si="2"/>
        <v>Inviable Sanitariamente</v>
      </c>
      <c r="T22" s="15"/>
    </row>
    <row r="23" spans="1:20" ht="32.1" customHeight="1">
      <c r="A23" s="564" t="s">
        <v>112</v>
      </c>
      <c r="B23" s="563" t="s">
        <v>3302</v>
      </c>
      <c r="C23" s="574" t="s">
        <v>3284</v>
      </c>
      <c r="D23" s="396">
        <v>40</v>
      </c>
      <c r="E23" s="468"/>
      <c r="F23" s="468"/>
      <c r="G23" s="47">
        <v>96.39</v>
      </c>
      <c r="H23" s="468"/>
      <c r="I23" s="468"/>
      <c r="J23" s="468"/>
      <c r="K23" s="468"/>
      <c r="L23" s="468"/>
      <c r="M23" s="468"/>
      <c r="N23" s="468"/>
      <c r="O23" s="468"/>
      <c r="P23" s="47">
        <v>96.39</v>
      </c>
      <c r="Q23" s="314">
        <f t="shared" si="0"/>
        <v>96.39</v>
      </c>
      <c r="R23" s="315" t="str">
        <f t="shared" si="1"/>
        <v>NO</v>
      </c>
      <c r="S23" s="316" t="str">
        <f t="shared" si="2"/>
        <v>Inviable Sanitariamente</v>
      </c>
      <c r="T23" s="15"/>
    </row>
    <row r="24" spans="1:20" ht="32.1" customHeight="1">
      <c r="A24" s="564" t="s">
        <v>112</v>
      </c>
      <c r="B24" s="563" t="s">
        <v>3303</v>
      </c>
      <c r="C24" s="573" t="s">
        <v>3285</v>
      </c>
      <c r="D24" s="304">
        <v>58</v>
      </c>
      <c r="E24" s="47">
        <v>100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314">
        <f t="shared" si="0"/>
        <v>100</v>
      </c>
      <c r="R24" s="315" t="str">
        <f t="shared" si="1"/>
        <v>NO</v>
      </c>
      <c r="S24" s="316" t="str">
        <f t="shared" si="2"/>
        <v>Inviable Sanitariamente</v>
      </c>
      <c r="T24" s="15"/>
    </row>
    <row r="25" spans="1:20" ht="32.1" customHeight="1">
      <c r="A25" s="562" t="s">
        <v>112</v>
      </c>
      <c r="B25" s="563" t="s">
        <v>240</v>
      </c>
      <c r="C25" s="573" t="s">
        <v>3286</v>
      </c>
      <c r="D25" s="304">
        <v>45</v>
      </c>
      <c r="E25" s="47"/>
      <c r="F25" s="47"/>
      <c r="G25" s="47">
        <v>100</v>
      </c>
      <c r="H25" s="47"/>
      <c r="I25" s="47"/>
      <c r="J25" s="47"/>
      <c r="K25" s="47"/>
      <c r="L25" s="47"/>
      <c r="M25" s="47"/>
      <c r="N25" s="47"/>
      <c r="O25" s="47"/>
      <c r="P25" s="47"/>
      <c r="Q25" s="314">
        <f t="shared" si="0"/>
        <v>100</v>
      </c>
      <c r="R25" s="315" t="str">
        <f t="shared" si="1"/>
        <v>NO</v>
      </c>
      <c r="S25" s="316" t="str">
        <f t="shared" si="2"/>
        <v>Inviable Sanitariamente</v>
      </c>
      <c r="T25" s="15"/>
    </row>
    <row r="26" spans="1:20" ht="32.1" customHeight="1">
      <c r="A26" s="564" t="s">
        <v>112</v>
      </c>
      <c r="B26" s="563" t="s">
        <v>326</v>
      </c>
      <c r="C26" s="575" t="s">
        <v>3287</v>
      </c>
      <c r="D26" s="396">
        <v>170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>
        <v>96.39</v>
      </c>
      <c r="P26" s="47"/>
      <c r="Q26" s="314">
        <f t="shared" si="0"/>
        <v>96.39</v>
      </c>
      <c r="R26" s="315" t="str">
        <f t="shared" si="1"/>
        <v>NO</v>
      </c>
      <c r="S26" s="316" t="str">
        <f t="shared" si="2"/>
        <v>Inviable Sanitariamente</v>
      </c>
      <c r="T26" s="15"/>
    </row>
    <row r="27" spans="1:20" ht="32.1" customHeight="1">
      <c r="A27" s="564" t="s">
        <v>112</v>
      </c>
      <c r="B27" s="563" t="s">
        <v>332</v>
      </c>
      <c r="C27" s="576" t="s">
        <v>3288</v>
      </c>
      <c r="D27" s="397">
        <v>98</v>
      </c>
      <c r="E27" s="47"/>
      <c r="F27" s="47"/>
      <c r="G27" s="47">
        <v>96.39</v>
      </c>
      <c r="H27" s="47"/>
      <c r="I27" s="47"/>
      <c r="J27" s="47"/>
      <c r="K27" s="47"/>
      <c r="L27" s="47"/>
      <c r="M27" s="47"/>
      <c r="N27" s="47"/>
      <c r="O27" s="47"/>
      <c r="P27" s="47"/>
      <c r="Q27" s="314">
        <f t="shared" si="0"/>
        <v>96.39</v>
      </c>
      <c r="R27" s="315" t="str">
        <f t="shared" si="1"/>
        <v>NO</v>
      </c>
      <c r="S27" s="316" t="str">
        <f t="shared" si="2"/>
        <v>Inviable Sanitariamente</v>
      </c>
      <c r="T27" s="15"/>
    </row>
    <row r="28" spans="1:20" ht="32.1" customHeight="1">
      <c r="A28" s="564" t="s">
        <v>112</v>
      </c>
      <c r="B28" s="563" t="s">
        <v>327</v>
      </c>
      <c r="C28" s="565" t="s">
        <v>4348</v>
      </c>
      <c r="D28" s="396">
        <v>435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96.39</v>
      </c>
      <c r="P28" s="47"/>
      <c r="Q28" s="314">
        <f t="shared" si="0"/>
        <v>96.39</v>
      </c>
      <c r="R28" s="315" t="str">
        <f t="shared" si="1"/>
        <v>NO</v>
      </c>
      <c r="S28" s="316" t="str">
        <f t="shared" si="2"/>
        <v>Inviable Sanitariamente</v>
      </c>
      <c r="T28" s="15"/>
    </row>
    <row r="29" spans="1:20" ht="32.1" customHeight="1">
      <c r="A29" s="564" t="s">
        <v>112</v>
      </c>
      <c r="B29" s="563" t="s">
        <v>329</v>
      </c>
      <c r="C29" s="573" t="s">
        <v>3289</v>
      </c>
      <c r="D29" s="304">
        <v>220</v>
      </c>
      <c r="E29" s="47"/>
      <c r="F29" s="47">
        <v>100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314">
        <f t="shared" si="0"/>
        <v>100</v>
      </c>
      <c r="R29" s="315" t="str">
        <f t="shared" si="1"/>
        <v>NO</v>
      </c>
      <c r="S29" s="316" t="str">
        <f t="shared" si="2"/>
        <v>Inviable Sanitariamente</v>
      </c>
      <c r="T29" s="15"/>
    </row>
    <row r="30" spans="1:20" ht="32.1" customHeight="1">
      <c r="A30" s="564" t="s">
        <v>112</v>
      </c>
      <c r="B30" s="563" t="s">
        <v>3304</v>
      </c>
      <c r="C30" s="573" t="s">
        <v>3290</v>
      </c>
      <c r="D30" s="304">
        <v>50</v>
      </c>
      <c r="E30" s="47"/>
      <c r="F30" s="47">
        <v>100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14">
        <f t="shared" si="0"/>
        <v>100</v>
      </c>
      <c r="R30" s="315" t="str">
        <f t="shared" si="1"/>
        <v>NO</v>
      </c>
      <c r="S30" s="316" t="str">
        <f t="shared" si="2"/>
        <v>Inviable Sanitariamente</v>
      </c>
      <c r="T30" s="15"/>
    </row>
    <row r="31" spans="1:20" ht="32.1" customHeight="1">
      <c r="A31" s="562" t="s">
        <v>112</v>
      </c>
      <c r="B31" s="563" t="s">
        <v>239</v>
      </c>
      <c r="C31" s="573" t="s">
        <v>3291</v>
      </c>
      <c r="D31" s="304">
        <v>67</v>
      </c>
      <c r="E31" s="47"/>
      <c r="F31" s="47"/>
      <c r="G31" s="47">
        <v>100</v>
      </c>
      <c r="H31" s="47"/>
      <c r="I31" s="47"/>
      <c r="J31" s="47"/>
      <c r="K31" s="47"/>
      <c r="L31" s="47"/>
      <c r="M31" s="47"/>
      <c r="N31" s="47"/>
      <c r="O31" s="47"/>
      <c r="P31" s="47"/>
      <c r="Q31" s="314">
        <f t="shared" si="0"/>
        <v>100</v>
      </c>
      <c r="R31" s="315" t="str">
        <f t="shared" si="1"/>
        <v>NO</v>
      </c>
      <c r="S31" s="316" t="str">
        <f t="shared" si="2"/>
        <v>Inviable Sanitariamente</v>
      </c>
      <c r="T31" s="15"/>
    </row>
    <row r="32" spans="1:20" ht="32.1" customHeight="1">
      <c r="A32" s="562" t="s">
        <v>112</v>
      </c>
      <c r="B32" s="563" t="s">
        <v>330</v>
      </c>
      <c r="C32" s="573" t="s">
        <v>3292</v>
      </c>
      <c r="D32" s="304">
        <v>55</v>
      </c>
      <c r="E32" s="47">
        <v>100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14">
        <f t="shared" si="0"/>
        <v>100</v>
      </c>
      <c r="R32" s="315" t="str">
        <f t="shared" si="1"/>
        <v>NO</v>
      </c>
      <c r="S32" s="316" t="str">
        <f t="shared" si="2"/>
        <v>Inviable Sanitariamente</v>
      </c>
      <c r="T32" s="15"/>
    </row>
    <row r="33" spans="1:20" ht="32.1" customHeight="1">
      <c r="A33" s="564" t="s">
        <v>112</v>
      </c>
      <c r="B33" s="563" t="s">
        <v>3305</v>
      </c>
      <c r="C33" s="576" t="s">
        <v>3293</v>
      </c>
      <c r="D33" s="402">
        <v>50</v>
      </c>
      <c r="E33" s="578"/>
      <c r="F33" s="578"/>
      <c r="G33" s="445">
        <v>96.39</v>
      </c>
      <c r="H33" s="578"/>
      <c r="I33" s="578"/>
      <c r="J33" s="578"/>
      <c r="K33" s="578"/>
      <c r="L33" s="578"/>
      <c r="M33" s="578"/>
      <c r="N33" s="578"/>
      <c r="O33" s="578"/>
      <c r="P33" s="578"/>
      <c r="Q33" s="314">
        <f t="shared" si="0"/>
        <v>96.39</v>
      </c>
      <c r="R33" s="315" t="str">
        <f t="shared" si="1"/>
        <v>NO</v>
      </c>
      <c r="S33" s="316" t="str">
        <f t="shared" si="2"/>
        <v>Inviable Sanitariamente</v>
      </c>
      <c r="T33" s="15"/>
    </row>
    <row r="34" spans="1:20" ht="32.1" customHeight="1">
      <c r="A34" s="562" t="s">
        <v>112</v>
      </c>
      <c r="B34" s="563" t="s">
        <v>328</v>
      </c>
      <c r="C34" s="573" t="s">
        <v>3294</v>
      </c>
      <c r="D34" s="304">
        <v>48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314"/>
      <c r="R34" s="315"/>
      <c r="S34" s="316"/>
      <c r="T34" s="15"/>
    </row>
    <row r="35" spans="1:20" ht="32.1" customHeight="1">
      <c r="A35" s="562" t="s">
        <v>112</v>
      </c>
      <c r="B35" s="563" t="s">
        <v>241</v>
      </c>
      <c r="C35" s="573" t="s">
        <v>3295</v>
      </c>
      <c r="D35" s="304">
        <v>350</v>
      </c>
      <c r="E35" s="47"/>
      <c r="F35" s="47">
        <v>100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314">
        <f t="shared" si="0"/>
        <v>100</v>
      </c>
      <c r="R35" s="315" t="str">
        <f t="shared" si="1"/>
        <v>NO</v>
      </c>
      <c r="S35" s="316" t="str">
        <f t="shared" si="2"/>
        <v>Inviable Sanitariamente</v>
      </c>
      <c r="T35" s="15"/>
    </row>
    <row r="36" spans="1:20" ht="32.1" customHeight="1">
      <c r="A36" s="562" t="s">
        <v>112</v>
      </c>
      <c r="B36" s="563" t="s">
        <v>3306</v>
      </c>
      <c r="C36" s="573" t="s">
        <v>3296</v>
      </c>
      <c r="D36" s="304">
        <v>90</v>
      </c>
      <c r="E36" s="47"/>
      <c r="F36" s="47">
        <v>100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14">
        <f t="shared" si="0"/>
        <v>100</v>
      </c>
      <c r="R36" s="315" t="str">
        <f t="shared" si="1"/>
        <v>NO</v>
      </c>
      <c r="S36" s="316" t="str">
        <f t="shared" si="2"/>
        <v>Inviable Sanitariamente</v>
      </c>
      <c r="T36" s="15"/>
    </row>
    <row r="37" spans="1:20" ht="32.1" customHeight="1">
      <c r="A37" s="562" t="s">
        <v>112</v>
      </c>
      <c r="B37" s="563" t="s">
        <v>3307</v>
      </c>
      <c r="C37" s="573" t="s">
        <v>3297</v>
      </c>
      <c r="D37" s="304">
        <v>62</v>
      </c>
      <c r="E37" s="47"/>
      <c r="F37" s="47">
        <v>100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314">
        <f t="shared" si="0"/>
        <v>100</v>
      </c>
      <c r="R37" s="315" t="str">
        <f t="shared" si="1"/>
        <v>NO</v>
      </c>
      <c r="S37" s="316" t="str">
        <f t="shared" si="2"/>
        <v>Inviable Sanitariamente</v>
      </c>
      <c r="T37" s="15"/>
    </row>
    <row r="38" spans="1:20" ht="32.1" customHeight="1">
      <c r="A38" s="562" t="s">
        <v>112</v>
      </c>
      <c r="B38" s="563" t="s">
        <v>3308</v>
      </c>
      <c r="C38" s="573" t="s">
        <v>3298</v>
      </c>
      <c r="D38" s="304">
        <v>45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314"/>
      <c r="R38" s="315"/>
      <c r="S38" s="316"/>
      <c r="T38" s="15"/>
    </row>
    <row r="39" spans="1:20" ht="32.1" customHeight="1">
      <c r="A39" s="404" t="s">
        <v>112</v>
      </c>
      <c r="B39" s="302" t="s">
        <v>331</v>
      </c>
      <c r="C39" s="403" t="s">
        <v>3299</v>
      </c>
      <c r="D39" s="402">
        <v>120</v>
      </c>
      <c r="E39" s="578"/>
      <c r="F39" s="578"/>
      <c r="G39" s="445">
        <v>96.39</v>
      </c>
      <c r="H39" s="578"/>
      <c r="I39" s="578"/>
      <c r="J39" s="578"/>
      <c r="K39" s="578"/>
      <c r="L39" s="578"/>
      <c r="M39" s="578"/>
      <c r="N39" s="578"/>
      <c r="O39" s="578"/>
      <c r="P39" s="578"/>
      <c r="Q39" s="314">
        <f t="shared" si="0"/>
        <v>96.39</v>
      </c>
      <c r="R39" s="315" t="str">
        <f t="shared" si="1"/>
        <v>NO</v>
      </c>
      <c r="S39" s="316" t="str">
        <f t="shared" si="2"/>
        <v>Inviable Sanitariamente</v>
      </c>
      <c r="T39" s="15"/>
    </row>
    <row r="40" spans="1:20" ht="32.1" customHeight="1">
      <c r="A40" s="562" t="s">
        <v>112</v>
      </c>
      <c r="B40" s="563" t="s">
        <v>3309</v>
      </c>
      <c r="C40" s="573" t="s">
        <v>3300</v>
      </c>
      <c r="D40" s="304">
        <v>36</v>
      </c>
      <c r="E40" s="47"/>
      <c r="F40" s="47"/>
      <c r="G40" s="47">
        <v>100</v>
      </c>
      <c r="H40" s="47"/>
      <c r="I40" s="47"/>
      <c r="J40" s="47"/>
      <c r="K40" s="47"/>
      <c r="L40" s="47"/>
      <c r="M40" s="47"/>
      <c r="N40" s="47"/>
      <c r="O40" s="47"/>
      <c r="P40" s="47"/>
      <c r="Q40" s="314">
        <f t="shared" si="0"/>
        <v>100</v>
      </c>
      <c r="R40" s="315" t="str">
        <f t="shared" si="1"/>
        <v>NO</v>
      </c>
      <c r="S40" s="316" t="str">
        <f t="shared" si="2"/>
        <v>Inviable Sanitariamente</v>
      </c>
      <c r="T40" s="15"/>
    </row>
    <row r="41" spans="1:20" ht="32.1" customHeight="1">
      <c r="A41" s="564" t="s">
        <v>112</v>
      </c>
      <c r="B41" s="563" t="s">
        <v>3310</v>
      </c>
      <c r="C41" s="575" t="s">
        <v>3301</v>
      </c>
      <c r="D41" s="396">
        <v>190</v>
      </c>
      <c r="E41" s="47"/>
      <c r="F41" s="47"/>
      <c r="G41" s="47">
        <v>96.39</v>
      </c>
      <c r="H41" s="47"/>
      <c r="I41" s="47"/>
      <c r="J41" s="47"/>
      <c r="K41" s="47"/>
      <c r="L41" s="47"/>
      <c r="M41" s="47"/>
      <c r="N41" s="47"/>
      <c r="O41" s="47"/>
      <c r="P41" s="47"/>
      <c r="Q41" s="314">
        <f t="shared" si="0"/>
        <v>96.39</v>
      </c>
      <c r="R41" s="315" t="str">
        <f t="shared" si="1"/>
        <v>NO</v>
      </c>
      <c r="S41" s="316" t="str">
        <f>IF(Q41&lt;5,"Sin Riesgo",IF(Q41 &lt;=14,"Bajo",IF(Q41&lt;=35,"Medio",IF(Q41&lt;=80,"Alto","Inviable Sanitariamente"))))</f>
        <v>Inviable Sanitariamente</v>
      </c>
      <c r="T41" s="15"/>
    </row>
    <row r="42" spans="1:20" ht="32.1" customHeight="1">
      <c r="A42" s="562" t="s">
        <v>112</v>
      </c>
      <c r="B42" s="563" t="s">
        <v>4046</v>
      </c>
      <c r="C42" s="573" t="s">
        <v>4047</v>
      </c>
      <c r="D42" s="304">
        <v>23</v>
      </c>
      <c r="E42" s="47"/>
      <c r="F42" s="47">
        <v>100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314">
        <f t="shared" ref="Q42:Q72" si="3">AVERAGE(E42:P42)</f>
        <v>100</v>
      </c>
      <c r="R42" s="315" t="str">
        <f t="shared" ref="R42:R72" si="4">IF(Q42&lt;5,"SI","NO")</f>
        <v>NO</v>
      </c>
      <c r="S42" s="316" t="str">
        <f t="shared" si="2"/>
        <v>Inviable Sanitariamente</v>
      </c>
      <c r="T42" s="15"/>
    </row>
    <row r="43" spans="1:20" ht="32.1" customHeight="1">
      <c r="A43" s="404" t="s">
        <v>113</v>
      </c>
      <c r="B43" s="302" t="s">
        <v>3311</v>
      </c>
      <c r="C43" s="313" t="s">
        <v>3312</v>
      </c>
      <c r="D43" s="304">
        <v>70</v>
      </c>
      <c r="E43" s="407"/>
      <c r="F43" s="407"/>
      <c r="G43" s="407"/>
      <c r="H43" s="407"/>
      <c r="I43" s="407">
        <v>0</v>
      </c>
      <c r="J43" s="407"/>
      <c r="K43" s="407"/>
      <c r="L43" s="407"/>
      <c r="M43" s="407"/>
      <c r="N43" s="407">
        <v>0</v>
      </c>
      <c r="O43" s="407"/>
      <c r="P43" s="407"/>
      <c r="Q43" s="314">
        <f t="shared" si="3"/>
        <v>0</v>
      </c>
      <c r="R43" s="315" t="str">
        <f t="shared" si="4"/>
        <v>SI</v>
      </c>
      <c r="S43" s="316" t="str">
        <f t="shared" si="2"/>
        <v>Sin Riesgo</v>
      </c>
      <c r="T43" s="15"/>
    </row>
    <row r="44" spans="1:20" ht="32.1" customHeight="1">
      <c r="A44" s="404" t="s">
        <v>113</v>
      </c>
      <c r="B44" s="302" t="s">
        <v>3313</v>
      </c>
      <c r="C44" s="313" t="s">
        <v>3314</v>
      </c>
      <c r="D44" s="304">
        <v>307</v>
      </c>
      <c r="E44" s="407"/>
      <c r="F44" s="407">
        <v>100</v>
      </c>
      <c r="G44" s="407"/>
      <c r="H44" s="407"/>
      <c r="I44" s="407"/>
      <c r="J44" s="407"/>
      <c r="K44" s="407"/>
      <c r="L44" s="407"/>
      <c r="M44" s="407">
        <v>97.345100000000002</v>
      </c>
      <c r="N44" s="407"/>
      <c r="O44" s="407"/>
      <c r="P44" s="407"/>
      <c r="Q44" s="314">
        <f t="shared" si="3"/>
        <v>98.672550000000001</v>
      </c>
      <c r="R44" s="315" t="str">
        <f t="shared" si="4"/>
        <v>NO</v>
      </c>
      <c r="S44" s="316" t="str">
        <f t="shared" si="2"/>
        <v>Inviable Sanitariamente</v>
      </c>
      <c r="T44" s="15"/>
    </row>
    <row r="45" spans="1:20" ht="32.1" customHeight="1">
      <c r="A45" s="404" t="s">
        <v>113</v>
      </c>
      <c r="B45" s="302" t="s">
        <v>451</v>
      </c>
      <c r="C45" s="313" t="s">
        <v>3315</v>
      </c>
      <c r="D45" s="304">
        <v>98</v>
      </c>
      <c r="E45" s="407"/>
      <c r="F45" s="407"/>
      <c r="G45" s="407"/>
      <c r="H45" s="407"/>
      <c r="I45" s="407">
        <v>100</v>
      </c>
      <c r="J45" s="407"/>
      <c r="K45" s="407"/>
      <c r="L45" s="407"/>
      <c r="M45" s="407"/>
      <c r="N45" s="407">
        <v>40</v>
      </c>
      <c r="O45" s="407"/>
      <c r="P45" s="407"/>
      <c r="Q45" s="314">
        <f t="shared" si="3"/>
        <v>70</v>
      </c>
      <c r="R45" s="315" t="str">
        <f t="shared" si="4"/>
        <v>NO</v>
      </c>
      <c r="S45" s="316" t="str">
        <f t="shared" si="2"/>
        <v>Alto</v>
      </c>
      <c r="T45" s="15"/>
    </row>
    <row r="46" spans="1:20" ht="32.1" customHeight="1">
      <c r="A46" s="404" t="s">
        <v>113</v>
      </c>
      <c r="B46" s="302" t="s">
        <v>333</v>
      </c>
      <c r="C46" s="313" t="s">
        <v>4182</v>
      </c>
      <c r="D46" s="304">
        <v>422</v>
      </c>
      <c r="E46" s="409"/>
      <c r="F46" s="409"/>
      <c r="G46" s="409"/>
      <c r="H46" s="409"/>
      <c r="I46" s="407">
        <v>100</v>
      </c>
      <c r="J46" s="409"/>
      <c r="K46" s="409"/>
      <c r="L46" s="409"/>
      <c r="M46" s="409"/>
      <c r="N46" s="407">
        <v>80</v>
      </c>
      <c r="O46" s="409"/>
      <c r="P46" s="409"/>
      <c r="Q46" s="314">
        <f t="shared" si="3"/>
        <v>90</v>
      </c>
      <c r="R46" s="315" t="str">
        <f t="shared" si="4"/>
        <v>NO</v>
      </c>
      <c r="S46" s="316" t="str">
        <f t="shared" si="2"/>
        <v>Inviable Sanitariamente</v>
      </c>
      <c r="T46" s="15"/>
    </row>
    <row r="47" spans="1:20" ht="32.1" customHeight="1">
      <c r="A47" s="404" t="s">
        <v>113</v>
      </c>
      <c r="B47" s="302" t="s">
        <v>3316</v>
      </c>
      <c r="C47" s="313" t="s">
        <v>4183</v>
      </c>
      <c r="D47" s="304">
        <v>80</v>
      </c>
      <c r="E47" s="407"/>
      <c r="F47" s="407"/>
      <c r="G47" s="407"/>
      <c r="H47" s="407"/>
      <c r="I47" s="407"/>
      <c r="J47" s="407">
        <v>0</v>
      </c>
      <c r="K47" s="407"/>
      <c r="L47" s="407"/>
      <c r="M47" s="407"/>
      <c r="N47" s="407">
        <v>52.631500000000003</v>
      </c>
      <c r="O47" s="407"/>
      <c r="P47" s="407"/>
      <c r="Q47" s="314">
        <f t="shared" si="3"/>
        <v>26.315750000000001</v>
      </c>
      <c r="R47" s="315" t="str">
        <f t="shared" si="4"/>
        <v>NO</v>
      </c>
      <c r="S47" s="316" t="str">
        <f t="shared" si="2"/>
        <v>Medio</v>
      </c>
      <c r="T47" s="15"/>
    </row>
    <row r="48" spans="1:20" ht="32.1" customHeight="1">
      <c r="A48" s="404" t="s">
        <v>113</v>
      </c>
      <c r="B48" s="302" t="s">
        <v>452</v>
      </c>
      <c r="C48" s="313" t="s">
        <v>3317</v>
      </c>
      <c r="D48" s="304">
        <v>160</v>
      </c>
      <c r="E48" s="409"/>
      <c r="F48" s="409"/>
      <c r="G48" s="409"/>
      <c r="H48" s="409"/>
      <c r="I48" s="407">
        <v>100</v>
      </c>
      <c r="J48" s="409"/>
      <c r="K48" s="409"/>
      <c r="L48" s="409"/>
      <c r="M48" s="409"/>
      <c r="N48" s="407">
        <v>96</v>
      </c>
      <c r="O48" s="409"/>
      <c r="P48" s="409"/>
      <c r="Q48" s="314">
        <f t="shared" si="3"/>
        <v>98</v>
      </c>
      <c r="R48" s="315" t="str">
        <f t="shared" si="4"/>
        <v>NO</v>
      </c>
      <c r="S48" s="316" t="str">
        <f t="shared" si="2"/>
        <v>Inviable Sanitariamente</v>
      </c>
      <c r="T48" s="15"/>
    </row>
    <row r="49" spans="1:20" ht="32.1" customHeight="1">
      <c r="A49" s="404" t="s">
        <v>113</v>
      </c>
      <c r="B49" s="302" t="s">
        <v>334</v>
      </c>
      <c r="C49" s="313" t="s">
        <v>4184</v>
      </c>
      <c r="D49" s="304">
        <v>215</v>
      </c>
      <c r="E49" s="407"/>
      <c r="F49" s="407"/>
      <c r="G49" s="407"/>
      <c r="H49" s="407"/>
      <c r="I49" s="407">
        <v>100</v>
      </c>
      <c r="J49" s="407"/>
      <c r="K49" s="407"/>
      <c r="L49" s="407"/>
      <c r="M49" s="407"/>
      <c r="N49" s="407">
        <v>96</v>
      </c>
      <c r="O49" s="407"/>
      <c r="P49" s="407"/>
      <c r="Q49" s="314">
        <f t="shared" si="3"/>
        <v>98</v>
      </c>
      <c r="R49" s="315" t="str">
        <f t="shared" si="4"/>
        <v>NO</v>
      </c>
      <c r="S49" s="316" t="str">
        <f t="shared" si="2"/>
        <v>Inviable Sanitariamente</v>
      </c>
      <c r="T49" s="15"/>
    </row>
    <row r="50" spans="1:20" ht="32.1" customHeight="1">
      <c r="A50" s="404" t="s">
        <v>113</v>
      </c>
      <c r="B50" s="302" t="s">
        <v>3318</v>
      </c>
      <c r="C50" s="313" t="s">
        <v>3319</v>
      </c>
      <c r="D50" s="304">
        <v>40</v>
      </c>
      <c r="E50" s="407"/>
      <c r="F50" s="407"/>
      <c r="G50" s="407"/>
      <c r="H50" s="407"/>
      <c r="I50" s="407">
        <v>100</v>
      </c>
      <c r="J50" s="407"/>
      <c r="K50" s="407"/>
      <c r="L50" s="407"/>
      <c r="M50" s="407"/>
      <c r="N50" s="407">
        <v>80</v>
      </c>
      <c r="O50" s="407"/>
      <c r="P50" s="407"/>
      <c r="Q50" s="314">
        <f t="shared" si="3"/>
        <v>90</v>
      </c>
      <c r="R50" s="315" t="str">
        <f t="shared" si="4"/>
        <v>NO</v>
      </c>
      <c r="S50" s="316" t="str">
        <f t="shared" si="2"/>
        <v>Inviable Sanitariamente</v>
      </c>
      <c r="T50" s="15"/>
    </row>
    <row r="51" spans="1:20" ht="32.1" customHeight="1">
      <c r="A51" s="404" t="s">
        <v>113</v>
      </c>
      <c r="B51" s="302" t="s">
        <v>3320</v>
      </c>
      <c r="C51" s="313" t="s">
        <v>4185</v>
      </c>
      <c r="D51" s="304">
        <v>138</v>
      </c>
      <c r="E51" s="407"/>
      <c r="F51" s="407"/>
      <c r="G51" s="407"/>
      <c r="H51" s="407"/>
      <c r="I51" s="407"/>
      <c r="J51" s="407">
        <v>100</v>
      </c>
      <c r="K51" s="407"/>
      <c r="L51" s="407"/>
      <c r="M51" s="407"/>
      <c r="N51" s="407">
        <v>0</v>
      </c>
      <c r="O51" s="407"/>
      <c r="P51" s="407"/>
      <c r="Q51" s="314">
        <f t="shared" si="3"/>
        <v>50</v>
      </c>
      <c r="R51" s="315" t="str">
        <f t="shared" si="4"/>
        <v>NO</v>
      </c>
      <c r="S51" s="316" t="str">
        <f t="shared" si="2"/>
        <v>Alto</v>
      </c>
      <c r="T51" s="15"/>
    </row>
    <row r="52" spans="1:20" ht="32.1" customHeight="1">
      <c r="A52" s="404" t="s">
        <v>113</v>
      </c>
      <c r="B52" s="302" t="s">
        <v>3321</v>
      </c>
      <c r="C52" s="313" t="s">
        <v>3322</v>
      </c>
      <c r="D52" s="304">
        <v>60</v>
      </c>
      <c r="E52" s="407"/>
      <c r="F52" s="407">
        <v>100</v>
      </c>
      <c r="G52" s="407"/>
      <c r="H52" s="407"/>
      <c r="I52" s="407"/>
      <c r="J52" s="407"/>
      <c r="K52" s="407"/>
      <c r="L52" s="407"/>
      <c r="M52" s="407">
        <v>96.774100000000004</v>
      </c>
      <c r="N52" s="407"/>
      <c r="O52" s="407"/>
      <c r="P52" s="407"/>
      <c r="Q52" s="314">
        <f t="shared" si="3"/>
        <v>98.387050000000002</v>
      </c>
      <c r="R52" s="315" t="str">
        <f t="shared" si="4"/>
        <v>NO</v>
      </c>
      <c r="S52" s="316" t="str">
        <f t="shared" si="2"/>
        <v>Inviable Sanitariamente</v>
      </c>
      <c r="T52" s="15"/>
    </row>
    <row r="53" spans="1:20" ht="32.1" customHeight="1">
      <c r="A53" s="404" t="s">
        <v>113</v>
      </c>
      <c r="B53" s="302" t="s">
        <v>3323</v>
      </c>
      <c r="C53" s="313" t="s">
        <v>3324</v>
      </c>
      <c r="D53" s="304">
        <v>42</v>
      </c>
      <c r="E53" s="407"/>
      <c r="F53" s="407">
        <v>100</v>
      </c>
      <c r="G53" s="407"/>
      <c r="H53" s="407"/>
      <c r="I53" s="407"/>
      <c r="J53" s="407"/>
      <c r="K53" s="407"/>
      <c r="L53" s="407"/>
      <c r="M53" s="407">
        <v>97.345100000000002</v>
      </c>
      <c r="N53" s="407"/>
      <c r="O53" s="407"/>
      <c r="P53" s="407"/>
      <c r="Q53" s="314">
        <f t="shared" si="3"/>
        <v>98.672550000000001</v>
      </c>
      <c r="R53" s="315" t="str">
        <f t="shared" si="4"/>
        <v>NO</v>
      </c>
      <c r="S53" s="316" t="str">
        <f t="shared" si="2"/>
        <v>Inviable Sanitariamente</v>
      </c>
      <c r="T53" s="15"/>
    </row>
    <row r="54" spans="1:20" ht="32.1" customHeight="1">
      <c r="A54" s="404" t="s">
        <v>113</v>
      </c>
      <c r="B54" s="302" t="s">
        <v>3325</v>
      </c>
      <c r="C54" s="313" t="s">
        <v>3326</v>
      </c>
      <c r="D54" s="304">
        <v>193</v>
      </c>
      <c r="E54" s="407"/>
      <c r="F54" s="407"/>
      <c r="G54" s="407"/>
      <c r="H54" s="407"/>
      <c r="I54" s="407">
        <v>100</v>
      </c>
      <c r="J54" s="407"/>
      <c r="K54" s="407"/>
      <c r="L54" s="407"/>
      <c r="M54" s="407"/>
      <c r="N54" s="407">
        <v>40</v>
      </c>
      <c r="O54" s="407"/>
      <c r="P54" s="407"/>
      <c r="Q54" s="314">
        <f t="shared" si="3"/>
        <v>70</v>
      </c>
      <c r="R54" s="315" t="str">
        <f t="shared" si="4"/>
        <v>NO</v>
      </c>
      <c r="S54" s="316" t="str">
        <f t="shared" si="2"/>
        <v>Alto</v>
      </c>
      <c r="T54" s="15"/>
    </row>
    <row r="55" spans="1:20" ht="32.1" customHeight="1">
      <c r="A55" s="404" t="s">
        <v>113</v>
      </c>
      <c r="B55" s="302" t="s">
        <v>3327</v>
      </c>
      <c r="C55" s="313" t="s">
        <v>3328</v>
      </c>
      <c r="D55" s="304">
        <v>70</v>
      </c>
      <c r="E55" s="407"/>
      <c r="F55" s="407"/>
      <c r="G55" s="407"/>
      <c r="H55" s="407"/>
      <c r="I55" s="407"/>
      <c r="J55" s="407">
        <v>100</v>
      </c>
      <c r="K55" s="407"/>
      <c r="L55" s="407"/>
      <c r="M55" s="407"/>
      <c r="N55" s="407">
        <v>96.842100000000002</v>
      </c>
      <c r="O55" s="407"/>
      <c r="P55" s="407"/>
      <c r="Q55" s="314">
        <f t="shared" si="3"/>
        <v>98.421050000000008</v>
      </c>
      <c r="R55" s="315" t="str">
        <f t="shared" si="4"/>
        <v>NO</v>
      </c>
      <c r="S55" s="316" t="str">
        <f t="shared" si="2"/>
        <v>Inviable Sanitariamente</v>
      </c>
      <c r="T55" s="15"/>
    </row>
    <row r="56" spans="1:20" ht="32.1" customHeight="1">
      <c r="A56" s="404" t="s">
        <v>113</v>
      </c>
      <c r="B56" s="302" t="s">
        <v>335</v>
      </c>
      <c r="C56" s="313" t="s">
        <v>4186</v>
      </c>
      <c r="D56" s="304">
        <v>170</v>
      </c>
      <c r="E56" s="407"/>
      <c r="F56" s="407"/>
      <c r="G56" s="407"/>
      <c r="H56" s="407"/>
      <c r="I56" s="407">
        <v>100</v>
      </c>
      <c r="J56" s="407"/>
      <c r="K56" s="407"/>
      <c r="L56" s="407"/>
      <c r="M56" s="407"/>
      <c r="N56" s="407">
        <v>0</v>
      </c>
      <c r="O56" s="407"/>
      <c r="P56" s="407"/>
      <c r="Q56" s="314">
        <f t="shared" si="3"/>
        <v>50</v>
      </c>
      <c r="R56" s="315" t="str">
        <f t="shared" si="4"/>
        <v>NO</v>
      </c>
      <c r="S56" s="316" t="str">
        <f t="shared" si="2"/>
        <v>Alto</v>
      </c>
      <c r="T56" s="15"/>
    </row>
    <row r="57" spans="1:20" ht="32.1" customHeight="1">
      <c r="A57" s="404" t="s">
        <v>113</v>
      </c>
      <c r="B57" s="302" t="s">
        <v>336</v>
      </c>
      <c r="C57" s="313" t="s">
        <v>4187</v>
      </c>
      <c r="D57" s="304">
        <v>200</v>
      </c>
      <c r="E57" s="407"/>
      <c r="F57" s="407"/>
      <c r="G57" s="407"/>
      <c r="H57" s="407"/>
      <c r="I57" s="407"/>
      <c r="J57" s="407"/>
      <c r="K57" s="407">
        <v>36.454500000000003</v>
      </c>
      <c r="L57" s="407"/>
      <c r="M57" s="407"/>
      <c r="N57" s="407">
        <v>96.842100000000002</v>
      </c>
      <c r="O57" s="407"/>
      <c r="P57" s="407"/>
      <c r="Q57" s="314">
        <f t="shared" si="3"/>
        <v>66.648300000000006</v>
      </c>
      <c r="R57" s="315" t="str">
        <f t="shared" si="4"/>
        <v>NO</v>
      </c>
      <c r="S57" s="316" t="str">
        <f t="shared" si="2"/>
        <v>Alto</v>
      </c>
      <c r="T57" s="15"/>
    </row>
    <row r="58" spans="1:20" ht="32.1" customHeight="1">
      <c r="A58" s="404" t="s">
        <v>3761</v>
      </c>
      <c r="B58" s="302" t="s">
        <v>466</v>
      </c>
      <c r="C58" s="313" t="s">
        <v>3329</v>
      </c>
      <c r="D58" s="304">
        <v>145</v>
      </c>
      <c r="E58" s="47"/>
      <c r="F58" s="47"/>
      <c r="G58" s="47">
        <v>0</v>
      </c>
      <c r="H58" s="47"/>
      <c r="I58" s="47"/>
      <c r="J58" s="47"/>
      <c r="K58" s="47"/>
      <c r="L58" s="47"/>
      <c r="M58" s="47"/>
      <c r="N58" s="47">
        <v>12.63</v>
      </c>
      <c r="O58" s="47"/>
      <c r="P58" s="47"/>
      <c r="Q58" s="314">
        <f t="shared" si="3"/>
        <v>6.3150000000000004</v>
      </c>
      <c r="R58" s="315" t="str">
        <f t="shared" si="4"/>
        <v>NO</v>
      </c>
      <c r="S58" s="316" t="str">
        <f t="shared" si="2"/>
        <v>Bajo</v>
      </c>
      <c r="T58" s="15"/>
    </row>
    <row r="59" spans="1:20" ht="32.1" customHeight="1">
      <c r="A59" s="404" t="s">
        <v>3761</v>
      </c>
      <c r="B59" s="302" t="s">
        <v>3330</v>
      </c>
      <c r="C59" s="313" t="s">
        <v>3331</v>
      </c>
      <c r="D59" s="304">
        <v>160</v>
      </c>
      <c r="E59" s="47"/>
      <c r="F59" s="47"/>
      <c r="G59" s="47">
        <v>0</v>
      </c>
      <c r="H59" s="47"/>
      <c r="I59" s="47"/>
      <c r="J59" s="47">
        <v>0</v>
      </c>
      <c r="K59" s="47"/>
      <c r="L59" s="47"/>
      <c r="M59" s="47"/>
      <c r="N59" s="47">
        <v>12.63</v>
      </c>
      <c r="O59" s="47"/>
      <c r="P59" s="47"/>
      <c r="Q59" s="314">
        <f t="shared" si="3"/>
        <v>4.21</v>
      </c>
      <c r="R59" s="315" t="str">
        <f t="shared" si="4"/>
        <v>SI</v>
      </c>
      <c r="S59" s="316" t="str">
        <f t="shared" si="2"/>
        <v>Sin Riesgo</v>
      </c>
      <c r="T59" s="15"/>
    </row>
    <row r="60" spans="1:20" ht="32.1" customHeight="1">
      <c r="A60" s="404" t="s">
        <v>3761</v>
      </c>
      <c r="B60" s="302" t="s">
        <v>337</v>
      </c>
      <c r="C60" s="313" t="s">
        <v>3332</v>
      </c>
      <c r="D60" s="304">
        <v>35</v>
      </c>
      <c r="E60" s="47"/>
      <c r="F60" s="47"/>
      <c r="G60" s="47">
        <v>0</v>
      </c>
      <c r="H60" s="47"/>
      <c r="I60" s="47"/>
      <c r="J60" s="47"/>
      <c r="K60" s="47"/>
      <c r="L60" s="47"/>
      <c r="M60" s="47"/>
      <c r="N60" s="47">
        <v>12.63</v>
      </c>
      <c r="O60" s="47"/>
      <c r="P60" s="47"/>
      <c r="Q60" s="314">
        <f t="shared" si="3"/>
        <v>6.3150000000000004</v>
      </c>
      <c r="R60" s="315" t="str">
        <f t="shared" si="4"/>
        <v>NO</v>
      </c>
      <c r="S60" s="316" t="str">
        <f t="shared" si="2"/>
        <v>Bajo</v>
      </c>
      <c r="T60" s="15"/>
    </row>
    <row r="61" spans="1:20" ht="32.1" customHeight="1">
      <c r="A61" s="404" t="s">
        <v>3761</v>
      </c>
      <c r="B61" s="302" t="s">
        <v>338</v>
      </c>
      <c r="C61" s="313" t="s">
        <v>3333</v>
      </c>
      <c r="D61" s="304">
        <v>19</v>
      </c>
      <c r="E61" s="47"/>
      <c r="F61" s="47"/>
      <c r="G61" s="47">
        <v>0</v>
      </c>
      <c r="H61" s="47"/>
      <c r="I61" s="47"/>
      <c r="J61" s="47"/>
      <c r="K61" s="47"/>
      <c r="L61" s="47"/>
      <c r="M61" s="47"/>
      <c r="N61" s="47">
        <v>12.63</v>
      </c>
      <c r="O61" s="47"/>
      <c r="P61" s="47"/>
      <c r="Q61" s="314">
        <f t="shared" si="3"/>
        <v>6.3150000000000004</v>
      </c>
      <c r="R61" s="315" t="str">
        <f t="shared" si="4"/>
        <v>NO</v>
      </c>
      <c r="S61" s="316" t="str">
        <f t="shared" si="2"/>
        <v>Bajo</v>
      </c>
      <c r="T61" s="15"/>
    </row>
    <row r="62" spans="1:20" ht="32.1" customHeight="1">
      <c r="A62" s="562" t="s">
        <v>3760</v>
      </c>
      <c r="B62" s="563" t="s">
        <v>71</v>
      </c>
      <c r="C62" s="573" t="s">
        <v>3334</v>
      </c>
      <c r="D62" s="304">
        <v>55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314"/>
      <c r="R62" s="315"/>
      <c r="S62" s="316"/>
      <c r="T62" s="15"/>
    </row>
    <row r="63" spans="1:20" ht="32.1" customHeight="1">
      <c r="A63" s="404" t="s">
        <v>3760</v>
      </c>
      <c r="B63" s="302" t="s">
        <v>339</v>
      </c>
      <c r="C63" s="313" t="s">
        <v>3335</v>
      </c>
      <c r="D63" s="304">
        <v>63</v>
      </c>
      <c r="E63" s="407"/>
      <c r="F63" s="407"/>
      <c r="G63" s="407"/>
      <c r="H63" s="407"/>
      <c r="I63" s="407"/>
      <c r="J63" s="407"/>
      <c r="K63" s="407"/>
      <c r="L63" s="407"/>
      <c r="M63" s="407">
        <v>48</v>
      </c>
      <c r="N63" s="407"/>
      <c r="O63" s="407"/>
      <c r="P63" s="407"/>
      <c r="Q63" s="314">
        <f t="shared" si="3"/>
        <v>48</v>
      </c>
      <c r="R63" s="315" t="str">
        <f t="shared" si="4"/>
        <v>NO</v>
      </c>
      <c r="S63" s="316" t="str">
        <f t="shared" si="2"/>
        <v>Alto</v>
      </c>
      <c r="T63" s="15"/>
    </row>
    <row r="64" spans="1:20" ht="32.1" customHeight="1">
      <c r="A64" s="404" t="s">
        <v>3760</v>
      </c>
      <c r="B64" s="302" t="s">
        <v>340</v>
      </c>
      <c r="C64" s="313" t="s">
        <v>3336</v>
      </c>
      <c r="D64" s="304">
        <v>8</v>
      </c>
      <c r="E64" s="407"/>
      <c r="F64" s="407"/>
      <c r="G64" s="407"/>
      <c r="H64" s="407"/>
      <c r="I64" s="407"/>
      <c r="J64" s="407"/>
      <c r="K64" s="407"/>
      <c r="L64" s="407"/>
      <c r="M64" s="407">
        <v>58</v>
      </c>
      <c r="N64" s="407"/>
      <c r="O64" s="407"/>
      <c r="P64" s="407"/>
      <c r="Q64" s="314">
        <f t="shared" si="3"/>
        <v>58</v>
      </c>
      <c r="R64" s="315" t="str">
        <f t="shared" si="4"/>
        <v>NO</v>
      </c>
      <c r="S64" s="316" t="str">
        <f t="shared" si="2"/>
        <v>Alto</v>
      </c>
      <c r="T64" s="15"/>
    </row>
    <row r="65" spans="1:20" ht="32.1" customHeight="1">
      <c r="A65" s="404" t="s">
        <v>3760</v>
      </c>
      <c r="B65" s="302" t="s">
        <v>342</v>
      </c>
      <c r="C65" s="313" t="s">
        <v>3337</v>
      </c>
      <c r="D65" s="304">
        <v>560</v>
      </c>
      <c r="E65" s="407"/>
      <c r="F65" s="407">
        <v>88</v>
      </c>
      <c r="G65" s="407"/>
      <c r="H65" s="407"/>
      <c r="I65" s="407"/>
      <c r="J65" s="407">
        <v>57</v>
      </c>
      <c r="K65" s="407"/>
      <c r="L65" s="407"/>
      <c r="M65" s="407"/>
      <c r="N65" s="407"/>
      <c r="O65" s="407"/>
      <c r="P65" s="407"/>
      <c r="Q65" s="314">
        <f t="shared" si="3"/>
        <v>72.5</v>
      </c>
      <c r="R65" s="315" t="str">
        <f t="shared" si="4"/>
        <v>NO</v>
      </c>
      <c r="S65" s="316" t="str">
        <f t="shared" si="2"/>
        <v>Alto</v>
      </c>
      <c r="T65" s="15"/>
    </row>
    <row r="66" spans="1:20" ht="32.1" customHeight="1">
      <c r="A66" s="404" t="s">
        <v>3760</v>
      </c>
      <c r="B66" s="302" t="s">
        <v>3338</v>
      </c>
      <c r="C66" s="313" t="s">
        <v>3339</v>
      </c>
      <c r="D66" s="304">
        <v>94</v>
      </c>
      <c r="E66" s="407"/>
      <c r="F66" s="407"/>
      <c r="G66" s="407"/>
      <c r="H66" s="407"/>
      <c r="I66" s="407">
        <v>53</v>
      </c>
      <c r="J66" s="407"/>
      <c r="K66" s="407"/>
      <c r="L66" s="407"/>
      <c r="M66" s="407"/>
      <c r="N66" s="407"/>
      <c r="O66" s="407"/>
      <c r="P66" s="407"/>
      <c r="Q66" s="314">
        <f t="shared" si="3"/>
        <v>53</v>
      </c>
      <c r="R66" s="315" t="str">
        <f t="shared" si="4"/>
        <v>NO</v>
      </c>
      <c r="S66" s="316" t="str">
        <f t="shared" si="2"/>
        <v>Alto</v>
      </c>
      <c r="T66" s="15"/>
    </row>
    <row r="67" spans="1:20" ht="32.1" customHeight="1">
      <c r="A67" s="404" t="s">
        <v>3760</v>
      </c>
      <c r="B67" s="302" t="s">
        <v>344</v>
      </c>
      <c r="C67" s="313" t="s">
        <v>3340</v>
      </c>
      <c r="D67" s="304">
        <v>75</v>
      </c>
      <c r="E67" s="407"/>
      <c r="F67" s="407"/>
      <c r="G67" s="407"/>
      <c r="H67" s="407"/>
      <c r="I67" s="407"/>
      <c r="J67" s="407"/>
      <c r="K67" s="407"/>
      <c r="L67" s="407"/>
      <c r="M67" s="407">
        <v>53</v>
      </c>
      <c r="N67" s="407"/>
      <c r="O67" s="407"/>
      <c r="P67" s="407"/>
      <c r="Q67" s="314">
        <f t="shared" si="3"/>
        <v>53</v>
      </c>
      <c r="R67" s="315" t="str">
        <f t="shared" si="4"/>
        <v>NO</v>
      </c>
      <c r="S67" s="316" t="str">
        <f t="shared" si="2"/>
        <v>Alto</v>
      </c>
      <c r="T67" s="15"/>
    </row>
    <row r="68" spans="1:20" ht="32.1" customHeight="1">
      <c r="A68" s="562" t="s">
        <v>3760</v>
      </c>
      <c r="B68" s="563" t="s">
        <v>3341</v>
      </c>
      <c r="C68" s="573" t="s">
        <v>3342</v>
      </c>
      <c r="D68" s="304">
        <v>80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>
        <v>54</v>
      </c>
      <c r="Q68" s="314">
        <f t="shared" si="3"/>
        <v>54</v>
      </c>
      <c r="R68" s="315" t="str">
        <f t="shared" si="4"/>
        <v>NO</v>
      </c>
      <c r="S68" s="316" t="str">
        <f t="shared" si="2"/>
        <v>Alto</v>
      </c>
      <c r="T68" s="15"/>
    </row>
    <row r="69" spans="1:20" ht="32.1" customHeight="1">
      <c r="A69" s="564" t="s">
        <v>3760</v>
      </c>
      <c r="B69" s="563" t="s">
        <v>343</v>
      </c>
      <c r="C69" s="573" t="s">
        <v>3343</v>
      </c>
      <c r="D69" s="304">
        <v>11</v>
      </c>
      <c r="E69" s="407"/>
      <c r="F69" s="407"/>
      <c r="G69" s="407"/>
      <c r="H69" s="407"/>
      <c r="I69" s="407"/>
      <c r="J69" s="407"/>
      <c r="K69" s="407"/>
      <c r="L69" s="407"/>
      <c r="M69" s="407">
        <v>58</v>
      </c>
      <c r="N69" s="407"/>
      <c r="O69" s="407"/>
      <c r="P69" s="407"/>
      <c r="Q69" s="314">
        <f t="shared" si="3"/>
        <v>58</v>
      </c>
      <c r="R69" s="315" t="str">
        <f t="shared" si="4"/>
        <v>NO</v>
      </c>
      <c r="S69" s="316" t="str">
        <f t="shared" si="2"/>
        <v>Alto</v>
      </c>
      <c r="T69" s="15"/>
    </row>
    <row r="70" spans="1:20" ht="32.1" customHeight="1">
      <c r="A70" s="562" t="s">
        <v>3760</v>
      </c>
      <c r="B70" s="563" t="s">
        <v>1011</v>
      </c>
      <c r="C70" s="573" t="s">
        <v>3344</v>
      </c>
      <c r="D70" s="304">
        <v>30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>
        <v>53</v>
      </c>
      <c r="Q70" s="314">
        <f t="shared" si="3"/>
        <v>53</v>
      </c>
      <c r="R70" s="315" t="str">
        <f t="shared" si="4"/>
        <v>NO</v>
      </c>
      <c r="S70" s="316" t="str">
        <f t="shared" si="2"/>
        <v>Alto</v>
      </c>
      <c r="T70" s="15"/>
    </row>
    <row r="71" spans="1:20" ht="32.1" customHeight="1">
      <c r="A71" s="562" t="s">
        <v>3760</v>
      </c>
      <c r="B71" s="563" t="s">
        <v>72</v>
      </c>
      <c r="C71" s="573" t="s">
        <v>3345</v>
      </c>
      <c r="D71" s="304">
        <v>32</v>
      </c>
      <c r="E71" s="47"/>
      <c r="F71" s="47"/>
      <c r="G71" s="47"/>
      <c r="H71" s="47"/>
      <c r="I71" s="47"/>
      <c r="J71" s="47">
        <v>53</v>
      </c>
      <c r="K71" s="47"/>
      <c r="L71" s="47"/>
      <c r="M71" s="47"/>
      <c r="N71" s="47"/>
      <c r="O71" s="47"/>
      <c r="P71" s="47"/>
      <c r="Q71" s="314">
        <f t="shared" si="3"/>
        <v>53</v>
      </c>
      <c r="R71" s="315" t="str">
        <f t="shared" si="4"/>
        <v>NO</v>
      </c>
      <c r="S71" s="316" t="str">
        <f t="shared" si="2"/>
        <v>Alto</v>
      </c>
      <c r="T71" s="15"/>
    </row>
    <row r="72" spans="1:20" ht="32.1" customHeight="1">
      <c r="A72" s="562" t="s">
        <v>3760</v>
      </c>
      <c r="B72" s="563" t="s">
        <v>341</v>
      </c>
      <c r="C72" s="573" t="s">
        <v>3346</v>
      </c>
      <c r="D72" s="304">
        <v>1321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314">
        <f t="shared" si="3"/>
        <v>0</v>
      </c>
      <c r="R72" s="315" t="str">
        <f t="shared" si="4"/>
        <v>SI</v>
      </c>
      <c r="S72" s="316" t="str">
        <f t="shared" si="2"/>
        <v>Sin Riesgo</v>
      </c>
      <c r="T72" s="15"/>
    </row>
    <row r="73" spans="1:20" ht="32.1" customHeight="1">
      <c r="A73" s="562" t="s">
        <v>3760</v>
      </c>
      <c r="B73" s="563" t="s">
        <v>345</v>
      </c>
      <c r="C73" s="573" t="s">
        <v>3347</v>
      </c>
      <c r="D73" s="304">
        <v>25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314"/>
      <c r="R73" s="315"/>
      <c r="S73" s="316"/>
      <c r="T73" s="15"/>
    </row>
    <row r="74" spans="1:20" ht="32.1" customHeight="1">
      <c r="A74" s="562" t="s">
        <v>3760</v>
      </c>
      <c r="B74" s="563" t="s">
        <v>3348</v>
      </c>
      <c r="C74" s="573" t="s">
        <v>3348</v>
      </c>
      <c r="D74" s="304">
        <v>45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314"/>
      <c r="R74" s="315"/>
      <c r="S74" s="316"/>
      <c r="T74" s="15"/>
    </row>
    <row r="75" spans="1:20" ht="32.1" customHeight="1">
      <c r="A75" s="564" t="s">
        <v>3760</v>
      </c>
      <c r="B75" s="563" t="s">
        <v>453</v>
      </c>
      <c r="C75" s="573" t="s">
        <v>3349</v>
      </c>
      <c r="D75" s="304">
        <v>35</v>
      </c>
      <c r="E75" s="407"/>
      <c r="F75" s="407"/>
      <c r="G75" s="407"/>
      <c r="H75" s="407"/>
      <c r="I75" s="407"/>
      <c r="J75" s="407"/>
      <c r="K75" s="407"/>
      <c r="L75" s="407"/>
      <c r="M75" s="407">
        <v>39</v>
      </c>
      <c r="N75" s="407"/>
      <c r="O75" s="407"/>
      <c r="P75" s="407"/>
      <c r="Q75" s="314">
        <f t="shared" ref="Q75:Q96" si="5">AVERAGE(E75:P75)</f>
        <v>39</v>
      </c>
      <c r="R75" s="315" t="str">
        <f t="shared" ref="R75:R96" si="6">IF(Q75&lt;5,"SI","NO")</f>
        <v>NO</v>
      </c>
      <c r="S75" s="316" t="str">
        <f t="shared" ref="S75:S119" si="7">IF(Q75&lt;5,"Sin Riesgo",IF(Q75 &lt;=14,"Bajo",IF(Q75&lt;=35,"Medio",IF(Q75&lt;=80,"Alto","Inviable Sanitariamente"))))</f>
        <v>Alto</v>
      </c>
      <c r="T75" s="15"/>
    </row>
    <row r="76" spans="1:20" ht="32.1" customHeight="1">
      <c r="A76" s="564" t="s">
        <v>3762</v>
      </c>
      <c r="B76" s="563" t="s">
        <v>459</v>
      </c>
      <c r="C76" s="573" t="s">
        <v>3354</v>
      </c>
      <c r="D76" s="304">
        <v>400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>
        <v>97.6</v>
      </c>
      <c r="Q76" s="314">
        <f t="shared" si="5"/>
        <v>97.6</v>
      </c>
      <c r="R76" s="315" t="str">
        <f t="shared" si="6"/>
        <v>NO</v>
      </c>
      <c r="S76" s="316" t="str">
        <f t="shared" si="7"/>
        <v>Inviable Sanitariamente</v>
      </c>
      <c r="T76" s="15"/>
    </row>
    <row r="77" spans="1:20" ht="32.1" customHeight="1">
      <c r="A77" s="562" t="s">
        <v>3762</v>
      </c>
      <c r="B77" s="563" t="s">
        <v>455</v>
      </c>
      <c r="C77" s="573" t="s">
        <v>3373</v>
      </c>
      <c r="D77" s="304">
        <v>113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314"/>
      <c r="R77" s="315"/>
      <c r="S77" s="316"/>
      <c r="T77" s="15"/>
    </row>
    <row r="78" spans="1:20" ht="32.1" customHeight="1">
      <c r="A78" s="404" t="s">
        <v>3762</v>
      </c>
      <c r="B78" s="302" t="s">
        <v>411</v>
      </c>
      <c r="C78" s="313" t="s">
        <v>3355</v>
      </c>
      <c r="D78" s="304">
        <v>205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>
        <v>97.3</v>
      </c>
      <c r="P78" s="47"/>
      <c r="Q78" s="314">
        <f t="shared" si="5"/>
        <v>97.3</v>
      </c>
      <c r="R78" s="315" t="str">
        <f t="shared" si="6"/>
        <v>NO</v>
      </c>
      <c r="S78" s="316" t="str">
        <f t="shared" si="7"/>
        <v>Inviable Sanitariamente</v>
      </c>
      <c r="T78" s="15"/>
    </row>
    <row r="79" spans="1:20" ht="32.1" customHeight="1">
      <c r="A79" s="404" t="s">
        <v>3762</v>
      </c>
      <c r="B79" s="302" t="s">
        <v>462</v>
      </c>
      <c r="C79" s="313" t="s">
        <v>3356</v>
      </c>
      <c r="D79" s="304">
        <v>15</v>
      </c>
      <c r="E79" s="47"/>
      <c r="F79" s="47"/>
      <c r="G79" s="47"/>
      <c r="H79" s="47"/>
      <c r="I79" s="47"/>
      <c r="J79" s="47"/>
      <c r="K79" s="47"/>
      <c r="L79" s="579"/>
      <c r="M79" s="47"/>
      <c r="N79" s="47"/>
      <c r="O79" s="47">
        <v>97.3</v>
      </c>
      <c r="P79" s="47"/>
      <c r="Q79" s="314">
        <f t="shared" si="5"/>
        <v>97.3</v>
      </c>
      <c r="R79" s="315" t="str">
        <f t="shared" si="6"/>
        <v>NO</v>
      </c>
      <c r="S79" s="316" t="str">
        <f t="shared" si="7"/>
        <v>Inviable Sanitariamente</v>
      </c>
      <c r="T79" s="15"/>
    </row>
    <row r="80" spans="1:20" ht="32.1" customHeight="1">
      <c r="A80" s="404" t="s">
        <v>3762</v>
      </c>
      <c r="B80" s="302" t="s">
        <v>467</v>
      </c>
      <c r="C80" s="313" t="s">
        <v>3357</v>
      </c>
      <c r="D80" s="304">
        <v>940</v>
      </c>
      <c r="E80" s="47"/>
      <c r="F80" s="47"/>
      <c r="G80" s="47"/>
      <c r="H80" s="47"/>
      <c r="I80" s="47"/>
      <c r="J80" s="47">
        <v>100</v>
      </c>
      <c r="K80" s="47"/>
      <c r="L80" s="47"/>
      <c r="M80" s="47"/>
      <c r="N80" s="47"/>
      <c r="O80" s="47">
        <v>90</v>
      </c>
      <c r="P80" s="47"/>
      <c r="Q80" s="314">
        <f t="shared" si="5"/>
        <v>95</v>
      </c>
      <c r="R80" s="315" t="str">
        <f t="shared" si="6"/>
        <v>NO</v>
      </c>
      <c r="S80" s="316" t="str">
        <f t="shared" si="7"/>
        <v>Inviable Sanitariamente</v>
      </c>
      <c r="T80" s="15"/>
    </row>
    <row r="81" spans="1:20" ht="32.1" customHeight="1">
      <c r="A81" s="404" t="s">
        <v>3762</v>
      </c>
      <c r="B81" s="302" t="s">
        <v>3350</v>
      </c>
      <c r="C81" s="313" t="s">
        <v>3358</v>
      </c>
      <c r="D81" s="304">
        <v>135</v>
      </c>
      <c r="E81" s="47"/>
      <c r="F81" s="47"/>
      <c r="G81" s="47"/>
      <c r="H81" s="47"/>
      <c r="I81" s="47"/>
      <c r="J81" s="47">
        <v>100</v>
      </c>
      <c r="K81" s="47"/>
      <c r="L81" s="47"/>
      <c r="M81" s="47"/>
      <c r="N81" s="47"/>
      <c r="O81" s="47">
        <v>90</v>
      </c>
      <c r="P81" s="47"/>
      <c r="Q81" s="314">
        <f t="shared" si="5"/>
        <v>95</v>
      </c>
      <c r="R81" s="315" t="str">
        <f t="shared" si="6"/>
        <v>NO</v>
      </c>
      <c r="S81" s="316" t="str">
        <f t="shared" si="7"/>
        <v>Inviable Sanitariamente</v>
      </c>
      <c r="T81" s="15"/>
    </row>
    <row r="82" spans="1:20" ht="32.1" customHeight="1">
      <c r="A82" s="404" t="s">
        <v>3762</v>
      </c>
      <c r="B82" s="302" t="s">
        <v>454</v>
      </c>
      <c r="C82" s="313" t="s">
        <v>3359</v>
      </c>
      <c r="D82" s="304">
        <v>98</v>
      </c>
      <c r="E82" s="47"/>
      <c r="F82" s="47"/>
      <c r="G82" s="47"/>
      <c r="H82" s="47"/>
      <c r="I82" s="47"/>
      <c r="J82" s="47">
        <v>100</v>
      </c>
      <c r="K82" s="47"/>
      <c r="L82" s="47"/>
      <c r="M82" s="47"/>
      <c r="N82" s="47"/>
      <c r="O82" s="47">
        <v>90</v>
      </c>
      <c r="P82" s="47"/>
      <c r="Q82" s="314">
        <f t="shared" si="5"/>
        <v>95</v>
      </c>
      <c r="R82" s="315" t="str">
        <f t="shared" si="6"/>
        <v>NO</v>
      </c>
      <c r="S82" s="316" t="str">
        <f t="shared" si="7"/>
        <v>Inviable Sanitariamente</v>
      </c>
      <c r="T82" s="16"/>
    </row>
    <row r="83" spans="1:20" ht="32.1" customHeight="1">
      <c r="A83" s="404" t="s">
        <v>3762</v>
      </c>
      <c r="B83" s="302" t="s">
        <v>3351</v>
      </c>
      <c r="C83" s="313" t="s">
        <v>3360</v>
      </c>
      <c r="D83" s="304">
        <v>40</v>
      </c>
      <c r="E83" s="47"/>
      <c r="F83" s="47"/>
      <c r="G83" s="47"/>
      <c r="H83" s="47"/>
      <c r="I83" s="47"/>
      <c r="J83" s="47">
        <v>100</v>
      </c>
      <c r="K83" s="47"/>
      <c r="L83" s="47"/>
      <c r="M83" s="47"/>
      <c r="N83" s="47"/>
      <c r="O83" s="47">
        <v>98</v>
      </c>
      <c r="P83" s="47"/>
      <c r="Q83" s="314">
        <f t="shared" si="5"/>
        <v>99</v>
      </c>
      <c r="R83" s="315" t="str">
        <f t="shared" si="6"/>
        <v>NO</v>
      </c>
      <c r="S83" s="316" t="str">
        <f t="shared" si="7"/>
        <v>Inviable Sanitariamente</v>
      </c>
      <c r="T83" s="16"/>
    </row>
    <row r="84" spans="1:20" ht="32.1" customHeight="1">
      <c r="A84" s="404" t="s">
        <v>3762</v>
      </c>
      <c r="B84" s="302" t="s">
        <v>461</v>
      </c>
      <c r="C84" s="313" t="s">
        <v>3361</v>
      </c>
      <c r="D84" s="304">
        <v>35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>
        <v>100</v>
      </c>
      <c r="P84" s="47"/>
      <c r="Q84" s="314">
        <f t="shared" si="5"/>
        <v>100</v>
      </c>
      <c r="R84" s="315" t="str">
        <f t="shared" si="6"/>
        <v>NO</v>
      </c>
      <c r="S84" s="316" t="str">
        <f t="shared" si="7"/>
        <v>Inviable Sanitariamente</v>
      </c>
      <c r="T84" s="16"/>
    </row>
    <row r="85" spans="1:20" ht="32.1" customHeight="1">
      <c r="A85" s="404" t="s">
        <v>3762</v>
      </c>
      <c r="B85" s="302" t="s">
        <v>458</v>
      </c>
      <c r="C85" s="313" t="s">
        <v>3362</v>
      </c>
      <c r="D85" s="304">
        <v>70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>
        <v>100</v>
      </c>
      <c r="P85" s="47"/>
      <c r="Q85" s="314">
        <f t="shared" si="5"/>
        <v>100</v>
      </c>
      <c r="R85" s="315" t="str">
        <f t="shared" si="6"/>
        <v>NO</v>
      </c>
      <c r="S85" s="316" t="str">
        <f t="shared" si="7"/>
        <v>Inviable Sanitariamente</v>
      </c>
      <c r="T85" s="16"/>
    </row>
    <row r="86" spans="1:20" ht="32.1" customHeight="1">
      <c r="A86" s="404" t="s">
        <v>3762</v>
      </c>
      <c r="B86" s="302" t="s">
        <v>346</v>
      </c>
      <c r="C86" s="313" t="s">
        <v>3363</v>
      </c>
      <c r="D86" s="304">
        <v>42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>
        <v>88</v>
      </c>
      <c r="Q86" s="314">
        <f t="shared" si="5"/>
        <v>88</v>
      </c>
      <c r="R86" s="315" t="str">
        <f t="shared" si="6"/>
        <v>NO</v>
      </c>
      <c r="S86" s="316" t="str">
        <f t="shared" si="7"/>
        <v>Inviable Sanitariamente</v>
      </c>
      <c r="T86" s="16"/>
    </row>
    <row r="87" spans="1:20" ht="32.1" customHeight="1">
      <c r="A87" s="404" t="s">
        <v>3762</v>
      </c>
      <c r="B87" s="302" t="s">
        <v>347</v>
      </c>
      <c r="C87" s="313" t="s">
        <v>3364</v>
      </c>
      <c r="D87" s="304">
        <v>91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>
        <v>100</v>
      </c>
      <c r="Q87" s="314">
        <f t="shared" si="5"/>
        <v>100</v>
      </c>
      <c r="R87" s="315" t="str">
        <f t="shared" si="6"/>
        <v>NO</v>
      </c>
      <c r="S87" s="316" t="str">
        <f t="shared" si="7"/>
        <v>Inviable Sanitariamente</v>
      </c>
      <c r="T87" s="16"/>
    </row>
    <row r="88" spans="1:20" ht="32.1" customHeight="1">
      <c r="A88" s="404" t="s">
        <v>3762</v>
      </c>
      <c r="B88" s="302" t="s">
        <v>456</v>
      </c>
      <c r="C88" s="313" t="s">
        <v>3365</v>
      </c>
      <c r="D88" s="304">
        <v>140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>
        <v>97.3</v>
      </c>
      <c r="P88" s="47"/>
      <c r="Q88" s="314">
        <f t="shared" si="5"/>
        <v>97.3</v>
      </c>
      <c r="R88" s="315" t="str">
        <f t="shared" si="6"/>
        <v>NO</v>
      </c>
      <c r="S88" s="316" t="str">
        <f t="shared" si="7"/>
        <v>Inviable Sanitariamente</v>
      </c>
      <c r="T88" s="16"/>
    </row>
    <row r="89" spans="1:20" ht="32.1" customHeight="1">
      <c r="A89" s="404" t="s">
        <v>3762</v>
      </c>
      <c r="B89" s="302" t="s">
        <v>348</v>
      </c>
      <c r="C89" s="313" t="s">
        <v>3366</v>
      </c>
      <c r="D89" s="304">
        <v>375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>
        <v>88</v>
      </c>
      <c r="Q89" s="314">
        <f t="shared" si="5"/>
        <v>88</v>
      </c>
      <c r="R89" s="315" t="str">
        <f t="shared" si="6"/>
        <v>NO</v>
      </c>
      <c r="S89" s="316" t="str">
        <f t="shared" si="7"/>
        <v>Inviable Sanitariamente</v>
      </c>
      <c r="T89" s="16"/>
    </row>
    <row r="90" spans="1:20" s="31" customFormat="1" ht="32.1" customHeight="1">
      <c r="A90" s="404" t="s">
        <v>3762</v>
      </c>
      <c r="B90" s="302" t="s">
        <v>236</v>
      </c>
      <c r="C90" s="313" t="s">
        <v>3367</v>
      </c>
      <c r="D90" s="304">
        <v>33</v>
      </c>
      <c r="E90" s="47"/>
      <c r="F90" s="47"/>
      <c r="G90" s="384"/>
      <c r="H90" s="47"/>
      <c r="I90" s="47"/>
      <c r="J90" s="47"/>
      <c r="K90" s="47"/>
      <c r="L90" s="47"/>
      <c r="M90" s="47"/>
      <c r="N90" s="47"/>
      <c r="O90" s="47"/>
      <c r="P90" s="47">
        <v>97.6</v>
      </c>
      <c r="Q90" s="314">
        <f t="shared" si="5"/>
        <v>97.6</v>
      </c>
      <c r="R90" s="315" t="str">
        <f t="shared" si="6"/>
        <v>NO</v>
      </c>
      <c r="S90" s="316" t="str">
        <f t="shared" si="7"/>
        <v>Inviable Sanitariamente</v>
      </c>
      <c r="T90" s="30"/>
    </row>
    <row r="91" spans="1:20" s="22" customFormat="1" ht="32.1" customHeight="1">
      <c r="A91" s="404" t="s">
        <v>3762</v>
      </c>
      <c r="B91" s="302" t="s">
        <v>3352</v>
      </c>
      <c r="C91" s="313" t="s">
        <v>3368</v>
      </c>
      <c r="D91" s="304">
        <v>22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>
        <v>97.6</v>
      </c>
      <c r="Q91" s="314">
        <f t="shared" si="5"/>
        <v>97.6</v>
      </c>
      <c r="R91" s="315" t="str">
        <f t="shared" si="6"/>
        <v>NO</v>
      </c>
      <c r="S91" s="316" t="str">
        <f t="shared" si="7"/>
        <v>Inviable Sanitariamente</v>
      </c>
      <c r="T91" s="21"/>
    </row>
    <row r="92" spans="1:20" ht="32.1" customHeight="1">
      <c r="A92" s="404" t="s">
        <v>3762</v>
      </c>
      <c r="B92" s="302" t="s">
        <v>408</v>
      </c>
      <c r="C92" s="313" t="s">
        <v>3369</v>
      </c>
      <c r="D92" s="304">
        <v>90</v>
      </c>
      <c r="E92" s="47"/>
      <c r="F92" s="47"/>
      <c r="G92" s="47"/>
      <c r="H92" s="47"/>
      <c r="I92" s="47"/>
      <c r="J92" s="314">
        <v>0</v>
      </c>
      <c r="K92" s="47"/>
      <c r="L92" s="47"/>
      <c r="M92" s="47"/>
      <c r="N92" s="47"/>
      <c r="O92" s="314">
        <v>0</v>
      </c>
      <c r="P92" s="47"/>
      <c r="Q92" s="314">
        <f t="shared" si="5"/>
        <v>0</v>
      </c>
      <c r="R92" s="315" t="str">
        <f t="shared" si="6"/>
        <v>SI</v>
      </c>
      <c r="S92" s="316" t="str">
        <f t="shared" si="7"/>
        <v>Sin Riesgo</v>
      </c>
      <c r="T92" s="16"/>
    </row>
    <row r="93" spans="1:20" ht="32.1" customHeight="1">
      <c r="A93" s="404" t="s">
        <v>3762</v>
      </c>
      <c r="B93" s="302" t="s">
        <v>407</v>
      </c>
      <c r="C93" s="313" t="s">
        <v>3370</v>
      </c>
      <c r="D93" s="304">
        <v>90</v>
      </c>
      <c r="E93" s="47"/>
      <c r="F93" s="47"/>
      <c r="G93" s="47"/>
      <c r="H93" s="47"/>
      <c r="I93" s="47"/>
      <c r="J93" s="314">
        <v>0</v>
      </c>
      <c r="K93" s="47"/>
      <c r="L93" s="47"/>
      <c r="M93" s="47"/>
      <c r="N93" s="47"/>
      <c r="O93" s="314">
        <v>0</v>
      </c>
      <c r="P93" s="47"/>
      <c r="Q93" s="314">
        <f t="shared" si="5"/>
        <v>0</v>
      </c>
      <c r="R93" s="315" t="str">
        <f t="shared" si="6"/>
        <v>SI</v>
      </c>
      <c r="S93" s="316" t="str">
        <f t="shared" si="7"/>
        <v>Sin Riesgo</v>
      </c>
      <c r="T93" s="16"/>
    </row>
    <row r="94" spans="1:20" ht="32.1" customHeight="1">
      <c r="A94" s="404" t="s">
        <v>3762</v>
      </c>
      <c r="B94" s="302" t="s">
        <v>3353</v>
      </c>
      <c r="C94" s="313" t="s">
        <v>3371</v>
      </c>
      <c r="D94" s="304">
        <v>90</v>
      </c>
      <c r="E94" s="47"/>
      <c r="F94" s="47"/>
      <c r="G94" s="47"/>
      <c r="H94" s="47"/>
      <c r="I94" s="47"/>
      <c r="J94" s="314">
        <v>0</v>
      </c>
      <c r="K94" s="47"/>
      <c r="L94" s="47"/>
      <c r="M94" s="47"/>
      <c r="N94" s="47"/>
      <c r="O94" s="314">
        <v>0</v>
      </c>
      <c r="P94" s="47"/>
      <c r="Q94" s="314">
        <f t="shared" si="5"/>
        <v>0</v>
      </c>
      <c r="R94" s="315" t="str">
        <f t="shared" si="6"/>
        <v>SI</v>
      </c>
      <c r="S94" s="316" t="str">
        <f t="shared" si="7"/>
        <v>Sin Riesgo</v>
      </c>
      <c r="T94" s="16"/>
    </row>
    <row r="95" spans="1:20" ht="32.1" customHeight="1">
      <c r="A95" s="404" t="s">
        <v>3762</v>
      </c>
      <c r="B95" s="302" t="s">
        <v>406</v>
      </c>
      <c r="C95" s="313" t="s">
        <v>3372</v>
      </c>
      <c r="D95" s="304">
        <v>380</v>
      </c>
      <c r="E95" s="47"/>
      <c r="F95" s="47"/>
      <c r="G95" s="47"/>
      <c r="H95" s="47"/>
      <c r="I95" s="47"/>
      <c r="J95" s="314">
        <v>0</v>
      </c>
      <c r="K95" s="47"/>
      <c r="L95" s="47"/>
      <c r="M95" s="47"/>
      <c r="N95" s="47"/>
      <c r="O95" s="314">
        <v>0</v>
      </c>
      <c r="P95" s="47"/>
      <c r="Q95" s="314">
        <f t="shared" si="5"/>
        <v>0</v>
      </c>
      <c r="R95" s="315" t="str">
        <f t="shared" si="6"/>
        <v>SI</v>
      </c>
      <c r="S95" s="316" t="str">
        <f t="shared" si="7"/>
        <v>Sin Riesgo</v>
      </c>
      <c r="T95" s="16"/>
    </row>
    <row r="96" spans="1:20" ht="32.1" customHeight="1">
      <c r="A96" s="404" t="s">
        <v>3762</v>
      </c>
      <c r="B96" s="301" t="s">
        <v>460</v>
      </c>
      <c r="C96" s="318" t="s">
        <v>3373</v>
      </c>
      <c r="D96" s="312">
        <v>110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>
        <v>88</v>
      </c>
      <c r="Q96" s="314">
        <f t="shared" si="5"/>
        <v>88</v>
      </c>
      <c r="R96" s="315" t="str">
        <f t="shared" si="6"/>
        <v>NO</v>
      </c>
      <c r="S96" s="316" t="str">
        <f t="shared" si="7"/>
        <v>Inviable Sanitariamente</v>
      </c>
      <c r="T96" s="16"/>
    </row>
    <row r="97" spans="1:20" ht="32.1" customHeight="1">
      <c r="A97" s="562" t="s">
        <v>3762</v>
      </c>
      <c r="B97" s="562" t="s">
        <v>457</v>
      </c>
      <c r="C97" s="567" t="s">
        <v>3374</v>
      </c>
      <c r="D97" s="312">
        <v>40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314"/>
      <c r="R97" s="315"/>
      <c r="S97" s="316"/>
      <c r="T97" s="16"/>
    </row>
    <row r="98" spans="1:20" ht="32.1" customHeight="1">
      <c r="A98" s="564" t="s">
        <v>3474</v>
      </c>
      <c r="B98" s="580" t="s">
        <v>3376</v>
      </c>
      <c r="C98" s="581" t="s">
        <v>3378</v>
      </c>
      <c r="D98" s="304">
        <v>240</v>
      </c>
      <c r="E98" s="407"/>
      <c r="F98" s="407"/>
      <c r="G98" s="407"/>
      <c r="H98" s="407"/>
      <c r="I98" s="407"/>
      <c r="J98" s="407"/>
      <c r="K98" s="407">
        <v>100</v>
      </c>
      <c r="L98" s="407"/>
      <c r="M98" s="407"/>
      <c r="N98" s="407"/>
      <c r="O98" s="407"/>
      <c r="P98" s="407"/>
      <c r="Q98" s="314">
        <f t="shared" ref="Q98:Q119" si="8">AVERAGE(E98:P98)</f>
        <v>100</v>
      </c>
      <c r="R98" s="315" t="str">
        <f t="shared" ref="R98:R119" si="9">IF(Q98&lt;5,"SI","NO")</f>
        <v>NO</v>
      </c>
      <c r="S98" s="316" t="str">
        <f t="shared" si="7"/>
        <v>Inviable Sanitariamente</v>
      </c>
      <c r="T98" s="16"/>
    </row>
    <row r="99" spans="1:20" ht="32.1" customHeight="1">
      <c r="A99" s="564" t="s">
        <v>3474</v>
      </c>
      <c r="B99" s="580" t="s">
        <v>3377</v>
      </c>
      <c r="C99" s="581" t="s">
        <v>3378</v>
      </c>
      <c r="D99" s="304">
        <v>195</v>
      </c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>
        <v>100</v>
      </c>
      <c r="Q99" s="314">
        <f t="shared" si="8"/>
        <v>100</v>
      </c>
      <c r="R99" s="315" t="str">
        <f t="shared" si="9"/>
        <v>NO</v>
      </c>
      <c r="S99" s="316" t="str">
        <f t="shared" si="7"/>
        <v>Inviable Sanitariamente</v>
      </c>
      <c r="T99" s="16"/>
    </row>
    <row r="100" spans="1:20" ht="32.1" customHeight="1">
      <c r="A100" s="562" t="s">
        <v>118</v>
      </c>
      <c r="B100" s="563" t="s">
        <v>6</v>
      </c>
      <c r="C100" s="573" t="s">
        <v>3375</v>
      </c>
      <c r="D100" s="304">
        <v>420</v>
      </c>
      <c r="E100" s="47"/>
      <c r="F100" s="47">
        <v>53.1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314">
        <f t="shared" si="8"/>
        <v>53.1</v>
      </c>
      <c r="R100" s="315" t="str">
        <f t="shared" si="9"/>
        <v>NO</v>
      </c>
      <c r="S100" s="316" t="str">
        <f t="shared" si="7"/>
        <v>Alto</v>
      </c>
      <c r="T100" s="16"/>
    </row>
    <row r="101" spans="1:20" ht="32.1" customHeight="1">
      <c r="A101" s="562" t="s">
        <v>118</v>
      </c>
      <c r="B101" s="563" t="s">
        <v>351</v>
      </c>
      <c r="C101" s="573" t="s">
        <v>3379</v>
      </c>
      <c r="D101" s="304">
        <v>80</v>
      </c>
      <c r="E101" s="47"/>
      <c r="F101" s="47">
        <v>97.35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314">
        <f t="shared" si="8"/>
        <v>97.35</v>
      </c>
      <c r="R101" s="315" t="str">
        <f t="shared" si="9"/>
        <v>NO</v>
      </c>
      <c r="S101" s="316" t="str">
        <f t="shared" si="7"/>
        <v>Inviable Sanitariamente</v>
      </c>
      <c r="T101" s="16"/>
    </row>
    <row r="102" spans="1:20" ht="32.1" customHeight="1">
      <c r="A102" s="562" t="s">
        <v>118</v>
      </c>
      <c r="B102" s="563" t="s">
        <v>349</v>
      </c>
      <c r="C102" s="573" t="s">
        <v>3380</v>
      </c>
      <c r="D102" s="304">
        <v>158</v>
      </c>
      <c r="E102" s="47"/>
      <c r="F102" s="47">
        <v>97.35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314">
        <f t="shared" si="8"/>
        <v>97.35</v>
      </c>
      <c r="R102" s="315" t="str">
        <f t="shared" si="9"/>
        <v>NO</v>
      </c>
      <c r="S102" s="316" t="str">
        <f t="shared" si="7"/>
        <v>Inviable Sanitariamente</v>
      </c>
      <c r="T102" s="16"/>
    </row>
    <row r="103" spans="1:20" ht="32.1" customHeight="1">
      <c r="A103" s="562" t="s">
        <v>118</v>
      </c>
      <c r="B103" s="563" t="s">
        <v>350</v>
      </c>
      <c r="C103" s="573" t="s">
        <v>3381</v>
      </c>
      <c r="D103" s="304">
        <v>30</v>
      </c>
      <c r="E103" s="47"/>
      <c r="F103" s="47">
        <v>97.35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314">
        <f t="shared" si="8"/>
        <v>97.35</v>
      </c>
      <c r="R103" s="315" t="str">
        <f t="shared" si="9"/>
        <v>NO</v>
      </c>
      <c r="S103" s="316" t="str">
        <f t="shared" si="7"/>
        <v>Inviable Sanitariamente</v>
      </c>
      <c r="T103" s="16"/>
    </row>
    <row r="104" spans="1:20" ht="32.1" customHeight="1">
      <c r="A104" s="562" t="s">
        <v>118</v>
      </c>
      <c r="B104" s="563" t="s">
        <v>82</v>
      </c>
      <c r="C104" s="573" t="s">
        <v>3382</v>
      </c>
      <c r="D104" s="304">
        <v>22</v>
      </c>
      <c r="E104" s="47"/>
      <c r="F104" s="47"/>
      <c r="G104" s="47">
        <v>97.35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314">
        <f t="shared" si="8"/>
        <v>97.35</v>
      </c>
      <c r="R104" s="315" t="str">
        <f t="shared" si="9"/>
        <v>NO</v>
      </c>
      <c r="S104" s="316" t="str">
        <f t="shared" si="7"/>
        <v>Inviable Sanitariamente</v>
      </c>
      <c r="T104" s="16"/>
    </row>
    <row r="105" spans="1:20" ht="32.1" customHeight="1">
      <c r="A105" s="562" t="s">
        <v>118</v>
      </c>
      <c r="B105" s="563" t="s">
        <v>3971</v>
      </c>
      <c r="C105" s="573" t="s">
        <v>3972</v>
      </c>
      <c r="D105" s="304">
        <v>70</v>
      </c>
      <c r="E105" s="47"/>
      <c r="F105" s="47">
        <v>53.1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314">
        <f>AVERAGE(E105:P105)</f>
        <v>53.1</v>
      </c>
      <c r="R105" s="315" t="str">
        <f t="shared" si="9"/>
        <v>NO</v>
      </c>
      <c r="S105" s="316" t="str">
        <f t="shared" si="7"/>
        <v>Alto</v>
      </c>
      <c r="T105" s="16"/>
    </row>
    <row r="106" spans="1:20" ht="32.1" customHeight="1">
      <c r="A106" s="404" t="s">
        <v>120</v>
      </c>
      <c r="B106" s="302" t="s">
        <v>445</v>
      </c>
      <c r="C106" s="313" t="s">
        <v>3383</v>
      </c>
      <c r="D106" s="304">
        <v>98</v>
      </c>
      <c r="E106" s="47">
        <v>36.144500000000001</v>
      </c>
      <c r="F106" s="47"/>
      <c r="G106" s="47"/>
      <c r="H106" s="47"/>
      <c r="I106" s="47"/>
      <c r="J106" s="47"/>
      <c r="K106" s="47"/>
      <c r="L106" s="47"/>
      <c r="M106" s="47">
        <v>97.6</v>
      </c>
      <c r="N106" s="47"/>
      <c r="O106" s="47"/>
      <c r="P106" s="47"/>
      <c r="Q106" s="314">
        <f t="shared" si="8"/>
        <v>66.872249999999994</v>
      </c>
      <c r="R106" s="315" t="str">
        <f t="shared" si="9"/>
        <v>NO</v>
      </c>
      <c r="S106" s="316" t="str">
        <f t="shared" si="7"/>
        <v>Alto</v>
      </c>
    </row>
    <row r="107" spans="1:20" ht="32.1" customHeight="1">
      <c r="A107" s="404" t="s">
        <v>120</v>
      </c>
      <c r="B107" s="302" t="s">
        <v>4</v>
      </c>
      <c r="C107" s="313" t="s">
        <v>3384</v>
      </c>
      <c r="D107" s="304">
        <v>899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>
        <v>97.34</v>
      </c>
      <c r="O107" s="47"/>
      <c r="P107" s="47"/>
      <c r="Q107" s="314">
        <f t="shared" si="8"/>
        <v>97.34</v>
      </c>
      <c r="R107" s="315" t="str">
        <f t="shared" si="9"/>
        <v>NO</v>
      </c>
      <c r="S107" s="316" t="str">
        <f t="shared" si="7"/>
        <v>Inviable Sanitariamente</v>
      </c>
    </row>
    <row r="108" spans="1:20" ht="32.1" customHeight="1">
      <c r="A108" s="404" t="s">
        <v>120</v>
      </c>
      <c r="B108" s="302" t="s">
        <v>446</v>
      </c>
      <c r="C108" s="313" t="s">
        <v>3385</v>
      </c>
      <c r="D108" s="304">
        <v>21</v>
      </c>
      <c r="E108" s="47">
        <v>0</v>
      </c>
      <c r="F108" s="47"/>
      <c r="G108" s="47"/>
      <c r="H108" s="47"/>
      <c r="I108" s="47"/>
      <c r="J108" s="47"/>
      <c r="K108" s="47"/>
      <c r="L108" s="47"/>
      <c r="M108" s="47">
        <v>24</v>
      </c>
      <c r="N108" s="47"/>
      <c r="O108" s="47"/>
      <c r="P108" s="47"/>
      <c r="Q108" s="314">
        <f t="shared" si="8"/>
        <v>12</v>
      </c>
      <c r="R108" s="315" t="str">
        <f t="shared" si="9"/>
        <v>NO</v>
      </c>
      <c r="S108" s="316" t="str">
        <f t="shared" si="7"/>
        <v>Bajo</v>
      </c>
    </row>
    <row r="109" spans="1:20" ht="32.1" customHeight="1">
      <c r="A109" s="404" t="s">
        <v>120</v>
      </c>
      <c r="B109" s="302" t="s">
        <v>447</v>
      </c>
      <c r="C109" s="313" t="s">
        <v>3386</v>
      </c>
      <c r="D109" s="304">
        <v>18</v>
      </c>
      <c r="E109" s="47">
        <v>36.144500000000001</v>
      </c>
      <c r="F109" s="47"/>
      <c r="G109" s="47"/>
      <c r="H109" s="47"/>
      <c r="I109" s="47"/>
      <c r="J109" s="47"/>
      <c r="K109" s="47"/>
      <c r="L109" s="47"/>
      <c r="M109" s="47"/>
      <c r="N109" s="47">
        <v>88</v>
      </c>
      <c r="O109" s="47"/>
      <c r="P109" s="47"/>
      <c r="Q109" s="314">
        <f t="shared" si="8"/>
        <v>62.072249999999997</v>
      </c>
      <c r="R109" s="315" t="str">
        <f t="shared" si="9"/>
        <v>NO</v>
      </c>
      <c r="S109" s="316" t="str">
        <f t="shared" si="7"/>
        <v>Alto</v>
      </c>
    </row>
    <row r="110" spans="1:20" ht="32.1" customHeight="1">
      <c r="A110" s="404" t="s">
        <v>120</v>
      </c>
      <c r="B110" s="302" t="s">
        <v>358</v>
      </c>
      <c r="C110" s="313" t="s">
        <v>3387</v>
      </c>
      <c r="D110" s="304">
        <v>250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>
        <v>96.8</v>
      </c>
      <c r="O110" s="47"/>
      <c r="P110" s="47"/>
      <c r="Q110" s="314">
        <f t="shared" si="8"/>
        <v>96.8</v>
      </c>
      <c r="R110" s="315" t="str">
        <f t="shared" si="9"/>
        <v>NO</v>
      </c>
      <c r="S110" s="316" t="str">
        <f t="shared" si="7"/>
        <v>Inviable Sanitariamente</v>
      </c>
    </row>
    <row r="111" spans="1:20" ht="32.1" customHeight="1">
      <c r="A111" s="404" t="s">
        <v>120</v>
      </c>
      <c r="B111" s="302" t="s">
        <v>359</v>
      </c>
      <c r="C111" s="313" t="s">
        <v>3388</v>
      </c>
      <c r="D111" s="304">
        <v>150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>
        <v>96.84</v>
      </c>
      <c r="O111" s="47"/>
      <c r="P111" s="47"/>
      <c r="Q111" s="314">
        <f t="shared" si="8"/>
        <v>96.84</v>
      </c>
      <c r="R111" s="315" t="str">
        <f t="shared" si="9"/>
        <v>NO</v>
      </c>
      <c r="S111" s="316" t="str">
        <f t="shared" si="7"/>
        <v>Inviable Sanitariamente</v>
      </c>
    </row>
    <row r="112" spans="1:20" ht="32.1" customHeight="1">
      <c r="A112" s="404" t="s">
        <v>120</v>
      </c>
      <c r="B112" s="302" t="s">
        <v>357</v>
      </c>
      <c r="C112" s="313" t="s">
        <v>3389</v>
      </c>
      <c r="D112" s="304">
        <v>490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>
        <v>96.84</v>
      </c>
      <c r="O112" s="47"/>
      <c r="P112" s="47"/>
      <c r="Q112" s="314">
        <f t="shared" si="8"/>
        <v>96.84</v>
      </c>
      <c r="R112" s="315" t="str">
        <f t="shared" si="9"/>
        <v>NO</v>
      </c>
      <c r="S112" s="316" t="str">
        <f t="shared" si="7"/>
        <v>Inviable Sanitariamente</v>
      </c>
    </row>
    <row r="113" spans="1:19" ht="32.1" customHeight="1">
      <c r="A113" s="404" t="s">
        <v>120</v>
      </c>
      <c r="B113" s="302" t="s">
        <v>448</v>
      </c>
      <c r="C113" s="313" t="s">
        <v>3390</v>
      </c>
      <c r="D113" s="304">
        <v>564</v>
      </c>
      <c r="E113" s="47">
        <v>36.144500000000001</v>
      </c>
      <c r="F113" s="47"/>
      <c r="G113" s="47"/>
      <c r="H113" s="47"/>
      <c r="I113" s="47"/>
      <c r="J113" s="47"/>
      <c r="K113" s="47"/>
      <c r="L113" s="47"/>
      <c r="M113" s="47">
        <v>88</v>
      </c>
      <c r="N113" s="47"/>
      <c r="O113" s="47"/>
      <c r="P113" s="47"/>
      <c r="Q113" s="314">
        <f t="shared" si="8"/>
        <v>62.072249999999997</v>
      </c>
      <c r="R113" s="315" t="str">
        <f t="shared" si="9"/>
        <v>NO</v>
      </c>
      <c r="S113" s="316" t="str">
        <f t="shared" si="7"/>
        <v>Alto</v>
      </c>
    </row>
    <row r="114" spans="1:19" ht="30" customHeight="1">
      <c r="A114" s="404" t="s">
        <v>120</v>
      </c>
      <c r="B114" s="302" t="s">
        <v>463</v>
      </c>
      <c r="C114" s="313" t="s">
        <v>3391</v>
      </c>
      <c r="D114" s="304">
        <v>21</v>
      </c>
      <c r="E114" s="47">
        <v>36.144500000000001</v>
      </c>
      <c r="F114" s="47"/>
      <c r="G114" s="47"/>
      <c r="H114" s="47"/>
      <c r="I114" s="47"/>
      <c r="J114" s="47"/>
      <c r="K114" s="47"/>
      <c r="L114" s="47"/>
      <c r="M114" s="47">
        <v>24</v>
      </c>
      <c r="N114" s="47"/>
      <c r="O114" s="47"/>
      <c r="P114" s="47"/>
      <c r="Q114" s="314">
        <f t="shared" si="8"/>
        <v>30.07225</v>
      </c>
      <c r="R114" s="320" t="str">
        <f t="shared" si="9"/>
        <v>NO</v>
      </c>
      <c r="S114" s="316" t="str">
        <f t="shared" si="7"/>
        <v>Medio</v>
      </c>
    </row>
    <row r="115" spans="1:19" ht="30" customHeight="1">
      <c r="A115" s="404" t="s">
        <v>120</v>
      </c>
      <c r="B115" s="302" t="s">
        <v>353</v>
      </c>
      <c r="C115" s="313" t="s">
        <v>3392</v>
      </c>
      <c r="D115" s="304">
        <v>1158</v>
      </c>
      <c r="E115" s="47">
        <v>0</v>
      </c>
      <c r="F115" s="47"/>
      <c r="G115" s="47">
        <v>0</v>
      </c>
      <c r="H115" s="47"/>
      <c r="I115" s="47"/>
      <c r="J115" s="47"/>
      <c r="K115" s="47">
        <v>24</v>
      </c>
      <c r="L115" s="47"/>
      <c r="M115" s="47">
        <v>0</v>
      </c>
      <c r="N115" s="47"/>
      <c r="O115" s="47">
        <v>0</v>
      </c>
      <c r="P115" s="47"/>
      <c r="Q115" s="314">
        <f t="shared" si="8"/>
        <v>4.8</v>
      </c>
      <c r="R115" s="321" t="str">
        <f t="shared" si="9"/>
        <v>SI</v>
      </c>
      <c r="S115" s="316" t="str">
        <f t="shared" si="7"/>
        <v>Sin Riesgo</v>
      </c>
    </row>
    <row r="116" spans="1:19" ht="30" customHeight="1">
      <c r="A116" s="404" t="s">
        <v>120</v>
      </c>
      <c r="B116" s="302" t="s">
        <v>352</v>
      </c>
      <c r="C116" s="313" t="s">
        <v>3393</v>
      </c>
      <c r="D116" s="304">
        <v>5.0650000000000004</v>
      </c>
      <c r="E116" s="47">
        <v>0</v>
      </c>
      <c r="F116" s="47"/>
      <c r="G116" s="47">
        <v>0</v>
      </c>
      <c r="H116" s="47"/>
      <c r="I116" s="47"/>
      <c r="J116" s="47"/>
      <c r="K116" s="47">
        <v>0</v>
      </c>
      <c r="L116" s="47"/>
      <c r="M116" s="47">
        <v>0</v>
      </c>
      <c r="N116" s="47"/>
      <c r="O116" s="47">
        <v>0</v>
      </c>
      <c r="P116" s="47"/>
      <c r="Q116" s="314">
        <f t="shared" si="8"/>
        <v>0</v>
      </c>
      <c r="R116" s="315" t="str">
        <f t="shared" si="9"/>
        <v>SI</v>
      </c>
      <c r="S116" s="316" t="str">
        <f t="shared" si="7"/>
        <v>Sin Riesgo</v>
      </c>
    </row>
    <row r="117" spans="1:19" ht="30" customHeight="1">
      <c r="A117" s="404" t="s">
        <v>120</v>
      </c>
      <c r="B117" s="302" t="s">
        <v>354</v>
      </c>
      <c r="C117" s="313" t="s">
        <v>3394</v>
      </c>
      <c r="D117" s="304">
        <v>2663</v>
      </c>
      <c r="E117" s="47">
        <v>0</v>
      </c>
      <c r="F117" s="47"/>
      <c r="G117" s="47">
        <v>0</v>
      </c>
      <c r="H117" s="47"/>
      <c r="I117" s="47"/>
      <c r="J117" s="47"/>
      <c r="K117" s="47">
        <v>0</v>
      </c>
      <c r="L117" s="47"/>
      <c r="M117" s="47">
        <v>0</v>
      </c>
      <c r="N117" s="47"/>
      <c r="O117" s="47">
        <v>0</v>
      </c>
      <c r="P117" s="47"/>
      <c r="Q117" s="314">
        <f t="shared" si="8"/>
        <v>0</v>
      </c>
      <c r="R117" s="315" t="str">
        <f t="shared" si="9"/>
        <v>SI</v>
      </c>
      <c r="S117" s="316" t="str">
        <f t="shared" si="7"/>
        <v>Sin Riesgo</v>
      </c>
    </row>
    <row r="118" spans="1:19" ht="30" customHeight="1">
      <c r="A118" s="404" t="s">
        <v>120</v>
      </c>
      <c r="B118" s="302" t="s">
        <v>355</v>
      </c>
      <c r="C118" s="313" t="s">
        <v>3395</v>
      </c>
      <c r="D118" s="304">
        <v>751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v>96.84</v>
      </c>
      <c r="Q118" s="314">
        <f t="shared" si="8"/>
        <v>96.84</v>
      </c>
      <c r="R118" s="320" t="str">
        <f t="shared" si="9"/>
        <v>NO</v>
      </c>
      <c r="S118" s="316" t="str">
        <f t="shared" si="7"/>
        <v>Inviable Sanitariamente</v>
      </c>
    </row>
    <row r="119" spans="1:19" ht="33" customHeight="1">
      <c r="A119" s="404" t="s">
        <v>120</v>
      </c>
      <c r="B119" s="302" t="s">
        <v>356</v>
      </c>
      <c r="C119" s="313" t="s">
        <v>3396</v>
      </c>
      <c r="D119" s="304">
        <v>120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>
        <v>84.2</v>
      </c>
      <c r="O119" s="47"/>
      <c r="P119" s="47"/>
      <c r="Q119" s="314">
        <f t="shared" si="8"/>
        <v>84.2</v>
      </c>
      <c r="R119" s="320" t="str">
        <f t="shared" si="9"/>
        <v>NO</v>
      </c>
      <c r="S119" s="316" t="str">
        <f t="shared" si="7"/>
        <v>Inviable Sanitariamente</v>
      </c>
    </row>
    <row r="120" spans="1:19" ht="30" customHeight="1">
      <c r="A120" s="236"/>
      <c r="B120" s="193"/>
      <c r="C120" s="193"/>
      <c r="D120" s="237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54"/>
      <c r="R120" s="254"/>
      <c r="S120" s="255"/>
    </row>
    <row r="121" spans="1:19" ht="30" customHeight="1">
      <c r="A121" s="94"/>
      <c r="C121" s="513"/>
      <c r="D121" s="500"/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</row>
    <row r="122" spans="1:19" ht="51" customHeight="1">
      <c r="A122" s="262" t="s">
        <v>3910</v>
      </c>
      <c r="B122" s="261" t="s">
        <v>3968</v>
      </c>
      <c r="C122" s="710"/>
      <c r="D122" s="711"/>
      <c r="E122" s="711"/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  <c r="P122" s="711"/>
      <c r="Q122" s="711"/>
      <c r="R122" s="711"/>
      <c r="S122" s="712"/>
    </row>
    <row r="123" spans="1:19" ht="30" customHeight="1">
      <c r="A123" s="256" t="s">
        <v>3881</v>
      </c>
      <c r="B123" s="264">
        <f>COUNTIF(E11:P119,"&lt;=5")</f>
        <v>57</v>
      </c>
      <c r="C123" s="513"/>
      <c r="D123" s="500"/>
      <c r="E123" s="500"/>
      <c r="F123" s="500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  <c r="S123" s="500"/>
    </row>
    <row r="124" spans="1:19" ht="30" customHeight="1">
      <c r="A124" s="257" t="s">
        <v>3882</v>
      </c>
      <c r="B124" s="264">
        <f>COUNTIFS(E11:P119,"&gt;5",E11:P119,"&lt;=14")</f>
        <v>4</v>
      </c>
      <c r="C124" s="513"/>
      <c r="D124" s="500"/>
      <c r="E124" s="500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</row>
    <row r="125" spans="1:19" ht="30" customHeight="1">
      <c r="A125" s="258" t="s">
        <v>3883</v>
      </c>
      <c r="B125" s="264">
        <f>COUNTIFS(E11:P119,"&gt;14",E11:P119,"&lt;=35")</f>
        <v>6</v>
      </c>
      <c r="C125" s="513"/>
      <c r="D125" s="500"/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</row>
    <row r="126" spans="1:19" ht="30" customHeight="1">
      <c r="A126" s="259" t="s">
        <v>3884</v>
      </c>
      <c r="B126" s="264">
        <f>COUNTIFS(E11:P119,"&gt;35",E11:P119,"&lt;=80")</f>
        <v>25</v>
      </c>
      <c r="C126" s="513"/>
      <c r="D126" s="500"/>
      <c r="E126" s="500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  <c r="S126" s="500"/>
    </row>
    <row r="127" spans="1:19" ht="39" customHeight="1">
      <c r="A127" s="260" t="s">
        <v>3885</v>
      </c>
      <c r="B127" s="264">
        <f>COUNTIFS(E11:P119,"&gt;80",E11:P119,"&lt;=100")</f>
        <v>78</v>
      </c>
      <c r="C127" s="513"/>
      <c r="D127" s="500"/>
      <c r="E127" s="500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  <c r="S127" s="500"/>
    </row>
    <row r="128" spans="1:19" ht="30" customHeight="1">
      <c r="A128" s="279" t="s">
        <v>3886</v>
      </c>
      <c r="B128" s="280">
        <f>COUNT(E11:P119)</f>
        <v>170</v>
      </c>
      <c r="C128" s="513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</row>
    <row r="129" spans="1:19" ht="32.25" customHeight="1">
      <c r="A129" s="263" t="s">
        <v>3888</v>
      </c>
      <c r="B129" s="265">
        <f>B128-B123</f>
        <v>113</v>
      </c>
      <c r="C129" s="513"/>
      <c r="D129" s="500"/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</row>
    <row r="130" spans="1:19" ht="30" customHeight="1">
      <c r="A130" s="94"/>
    </row>
    <row r="131" spans="1:19" ht="30" customHeight="1">
      <c r="A131" s="94"/>
    </row>
    <row r="132" spans="1:19" ht="30" customHeight="1">
      <c r="A132" s="94"/>
    </row>
    <row r="133" spans="1:19" ht="30" customHeight="1">
      <c r="A133" s="94"/>
    </row>
    <row r="134" spans="1:19" ht="30" customHeight="1">
      <c r="A134" s="94"/>
    </row>
    <row r="135" spans="1:19" ht="30" customHeight="1">
      <c r="A135" s="94"/>
    </row>
    <row r="136" spans="1:19" ht="30" customHeight="1">
      <c r="A136" s="94"/>
    </row>
    <row r="137" spans="1:19" ht="30" customHeight="1">
      <c r="A137" s="94"/>
    </row>
    <row r="138" spans="1:19" ht="30" customHeight="1">
      <c r="A138" s="94"/>
    </row>
    <row r="139" spans="1:19" ht="30" customHeight="1">
      <c r="A139" s="94"/>
    </row>
    <row r="140" spans="1:19" ht="30" customHeight="1">
      <c r="A140" s="94"/>
    </row>
    <row r="141" spans="1:19" ht="30" customHeight="1">
      <c r="A141" s="94"/>
    </row>
    <row r="142" spans="1:19" ht="30" customHeight="1">
      <c r="A142" s="94"/>
    </row>
    <row r="143" spans="1:19" ht="30" customHeight="1">
      <c r="A143" s="94"/>
    </row>
    <row r="144" spans="1:19" ht="30" customHeight="1">
      <c r="A144" s="94"/>
    </row>
    <row r="145" spans="1:1" ht="30" customHeight="1">
      <c r="A145" s="94"/>
    </row>
    <row r="146" spans="1:1" ht="30" customHeight="1">
      <c r="A146" s="94"/>
    </row>
    <row r="147" spans="1:1" ht="30" customHeight="1">
      <c r="A147" s="94"/>
    </row>
    <row r="148" spans="1:1" ht="30" customHeight="1">
      <c r="A148" s="94"/>
    </row>
    <row r="149" spans="1:1" ht="30" customHeight="1">
      <c r="A149" s="94"/>
    </row>
    <row r="150" spans="1:1" ht="30" customHeight="1">
      <c r="A150" s="94"/>
    </row>
    <row r="151" spans="1:1" ht="30" customHeight="1">
      <c r="A151" s="94"/>
    </row>
    <row r="152" spans="1:1" ht="30" customHeight="1">
      <c r="A152" s="94"/>
    </row>
    <row r="153" spans="1:1" ht="30" customHeight="1">
      <c r="A153" s="94"/>
    </row>
    <row r="154" spans="1:1" ht="30" customHeight="1">
      <c r="A154" s="94"/>
    </row>
    <row r="155" spans="1:1" ht="30" customHeight="1">
      <c r="A155" s="94"/>
    </row>
    <row r="156" spans="1:1" ht="30" customHeight="1">
      <c r="A156" s="94"/>
    </row>
    <row r="157" spans="1:1" ht="30" customHeight="1">
      <c r="A157" s="94"/>
    </row>
    <row r="158" spans="1:1" ht="30" customHeight="1">
      <c r="A158" s="94"/>
    </row>
    <row r="159" spans="1:1" ht="30" customHeight="1">
      <c r="A159" s="94"/>
    </row>
    <row r="160" spans="1:1" ht="30" customHeight="1">
      <c r="A160" s="94"/>
    </row>
    <row r="161" spans="1:1" ht="30" customHeight="1">
      <c r="A161" s="94"/>
    </row>
    <row r="162" spans="1:1" ht="30" customHeight="1">
      <c r="A162" s="94"/>
    </row>
    <row r="163" spans="1:1" ht="30" customHeight="1">
      <c r="A163" s="94"/>
    </row>
    <row r="164" spans="1:1" ht="30" customHeight="1">
      <c r="A164" s="94"/>
    </row>
    <row r="165" spans="1:1" ht="30" customHeight="1">
      <c r="A165" s="94"/>
    </row>
    <row r="166" spans="1:1" ht="30" customHeight="1">
      <c r="A166" s="94"/>
    </row>
    <row r="167" spans="1:1" ht="30" customHeight="1">
      <c r="A167" s="94"/>
    </row>
    <row r="168" spans="1:1" ht="30" customHeight="1">
      <c r="A168" s="94"/>
    </row>
    <row r="169" spans="1:1" ht="30" customHeight="1">
      <c r="A169" s="94"/>
    </row>
    <row r="170" spans="1:1" ht="30" customHeight="1">
      <c r="A170" s="94"/>
    </row>
    <row r="171" spans="1:1" ht="30" customHeight="1">
      <c r="A171" s="94"/>
    </row>
    <row r="172" spans="1:1" ht="30" customHeight="1">
      <c r="A172" s="94"/>
    </row>
    <row r="173" spans="1:1" ht="30" customHeight="1">
      <c r="A173" s="94"/>
    </row>
    <row r="174" spans="1:1" ht="30" customHeight="1">
      <c r="A174" s="94"/>
    </row>
    <row r="175" spans="1:1" ht="30" customHeight="1">
      <c r="A175" s="94"/>
    </row>
    <row r="176" spans="1:1" ht="30" customHeight="1">
      <c r="A176" s="94"/>
    </row>
    <row r="177" spans="1:1" ht="30" customHeight="1">
      <c r="A177" s="94"/>
    </row>
    <row r="178" spans="1:1" ht="30" customHeight="1">
      <c r="A178" s="94"/>
    </row>
    <row r="179" spans="1:1" ht="30" customHeight="1">
      <c r="A179" s="94"/>
    </row>
    <row r="180" spans="1:1" ht="30" customHeight="1">
      <c r="A180" s="94"/>
    </row>
    <row r="181" spans="1:1" ht="30" customHeight="1">
      <c r="A181" s="94"/>
    </row>
    <row r="182" spans="1:1" ht="30" customHeight="1">
      <c r="A182" s="94"/>
    </row>
    <row r="183" spans="1:1" ht="30" customHeight="1">
      <c r="A183" s="94"/>
    </row>
    <row r="184" spans="1:1" ht="30" customHeight="1">
      <c r="A184" s="94"/>
    </row>
    <row r="185" spans="1:1" ht="30" customHeight="1">
      <c r="A185" s="94"/>
    </row>
    <row r="186" spans="1:1" ht="30" customHeight="1">
      <c r="A186" s="94"/>
    </row>
    <row r="187" spans="1:1" ht="30" customHeight="1">
      <c r="A187" s="94"/>
    </row>
    <row r="188" spans="1:1" ht="30" customHeight="1">
      <c r="A188" s="94"/>
    </row>
    <row r="189" spans="1:1" ht="30" customHeight="1">
      <c r="A189" s="94"/>
    </row>
    <row r="190" spans="1:1" ht="30" customHeight="1">
      <c r="A190" s="94"/>
    </row>
    <row r="191" spans="1:1" ht="30" customHeight="1">
      <c r="A191" s="94"/>
    </row>
    <row r="192" spans="1:1" ht="30" customHeight="1">
      <c r="A192" s="94"/>
    </row>
    <row r="193" spans="1:1" ht="30" customHeight="1">
      <c r="A193" s="94"/>
    </row>
    <row r="194" spans="1:1" ht="30" customHeight="1">
      <c r="A194" s="94"/>
    </row>
    <row r="195" spans="1:1" ht="30" customHeight="1">
      <c r="A195" s="94"/>
    </row>
    <row r="196" spans="1:1" ht="30" customHeight="1">
      <c r="A196" s="94"/>
    </row>
    <row r="197" spans="1:1" ht="30" customHeight="1">
      <c r="A197" s="94"/>
    </row>
    <row r="198" spans="1:1" ht="30" customHeight="1">
      <c r="A198" s="94"/>
    </row>
    <row r="199" spans="1:1" ht="30" customHeight="1">
      <c r="A199" s="94"/>
    </row>
    <row r="200" spans="1:1" ht="30" customHeight="1">
      <c r="A200" s="94"/>
    </row>
    <row r="201" spans="1:1" ht="30" customHeight="1">
      <c r="A201" s="94"/>
    </row>
    <row r="202" spans="1:1" ht="30" customHeight="1">
      <c r="A202" s="94"/>
    </row>
    <row r="203" spans="1:1" ht="30" customHeight="1">
      <c r="A203" s="94"/>
    </row>
    <row r="204" spans="1:1" ht="30" customHeight="1">
      <c r="A204" s="94"/>
    </row>
    <row r="205" spans="1:1" ht="30" customHeight="1">
      <c r="A205" s="94"/>
    </row>
    <row r="206" spans="1:1" ht="30" customHeight="1">
      <c r="A206" s="94"/>
    </row>
    <row r="207" spans="1:1" ht="30" customHeight="1">
      <c r="A207" s="94"/>
    </row>
    <row r="208" spans="1:1" ht="30" customHeight="1">
      <c r="A208" s="94"/>
    </row>
    <row r="209" spans="1:1" ht="30" customHeight="1">
      <c r="A209" s="94"/>
    </row>
    <row r="210" spans="1:1" ht="30" customHeight="1">
      <c r="A210" s="94"/>
    </row>
    <row r="211" spans="1:1" ht="30" customHeight="1">
      <c r="A211" s="94"/>
    </row>
    <row r="212" spans="1:1" ht="30" customHeight="1">
      <c r="A212" s="94"/>
    </row>
    <row r="213" spans="1:1" ht="30" customHeight="1">
      <c r="A213" s="94"/>
    </row>
    <row r="214" spans="1:1" ht="30" customHeight="1">
      <c r="A214" s="94"/>
    </row>
    <row r="215" spans="1:1" ht="30" customHeight="1">
      <c r="A215" s="94"/>
    </row>
    <row r="216" spans="1:1" ht="30" customHeight="1">
      <c r="A216" s="94"/>
    </row>
    <row r="217" spans="1:1" ht="30" customHeight="1">
      <c r="A217" s="94"/>
    </row>
    <row r="218" spans="1:1" ht="30" customHeight="1">
      <c r="A218" s="94"/>
    </row>
    <row r="219" spans="1:1" ht="30" customHeight="1">
      <c r="A219" s="94"/>
    </row>
    <row r="220" spans="1:1" ht="30" customHeight="1">
      <c r="A220" s="94"/>
    </row>
    <row r="221" spans="1:1" ht="30" customHeight="1">
      <c r="A221" s="94"/>
    </row>
    <row r="222" spans="1:1" ht="30" customHeight="1">
      <c r="A222" s="94"/>
    </row>
    <row r="223" spans="1:1" ht="30" customHeight="1">
      <c r="A223" s="94"/>
    </row>
    <row r="224" spans="1:1" ht="30" customHeight="1">
      <c r="A224" s="94"/>
    </row>
    <row r="225" spans="1:1" ht="30" customHeight="1">
      <c r="A225" s="94"/>
    </row>
    <row r="226" spans="1:1" ht="30" customHeight="1">
      <c r="A226" s="94"/>
    </row>
    <row r="227" spans="1:1" ht="30" customHeight="1">
      <c r="A227" s="94"/>
    </row>
    <row r="228" spans="1:1" ht="30" customHeight="1">
      <c r="A228" s="94"/>
    </row>
    <row r="229" spans="1:1" ht="30" customHeight="1">
      <c r="A229" s="94"/>
    </row>
    <row r="230" spans="1:1" ht="30" customHeight="1">
      <c r="A230" s="94"/>
    </row>
    <row r="231" spans="1:1" ht="30" customHeight="1">
      <c r="A231" s="94"/>
    </row>
    <row r="232" spans="1:1" ht="30" customHeight="1">
      <c r="A232" s="94"/>
    </row>
    <row r="233" spans="1:1" ht="30" customHeight="1">
      <c r="A233" s="94"/>
    </row>
    <row r="234" spans="1:1" ht="30" customHeight="1">
      <c r="A234" s="94"/>
    </row>
    <row r="235" spans="1:1" ht="30" customHeight="1">
      <c r="A235" s="94"/>
    </row>
    <row r="236" spans="1:1" ht="30" customHeight="1">
      <c r="A236" s="94"/>
    </row>
    <row r="237" spans="1:1" ht="30" customHeight="1">
      <c r="A237" s="94"/>
    </row>
    <row r="238" spans="1:1" ht="30" customHeight="1">
      <c r="A238" s="94"/>
    </row>
    <row r="239" spans="1:1" ht="30" customHeight="1">
      <c r="A239" s="94"/>
    </row>
    <row r="240" spans="1:1" ht="30" customHeight="1">
      <c r="A240" s="94"/>
    </row>
    <row r="241" spans="1:1" ht="30" customHeight="1">
      <c r="A241" s="94"/>
    </row>
    <row r="242" spans="1:1" ht="30" customHeight="1">
      <c r="A242" s="94"/>
    </row>
    <row r="243" spans="1:1" ht="30" customHeight="1">
      <c r="A243" s="94"/>
    </row>
    <row r="244" spans="1:1" ht="30" customHeight="1">
      <c r="A244" s="94"/>
    </row>
    <row r="245" spans="1:1" ht="30" customHeight="1">
      <c r="A245" s="94"/>
    </row>
    <row r="246" spans="1:1" ht="30" customHeight="1">
      <c r="A246" s="94"/>
    </row>
    <row r="247" spans="1:1" ht="30" customHeight="1">
      <c r="A247" s="94"/>
    </row>
    <row r="248" spans="1:1" ht="30" customHeight="1">
      <c r="A248" s="94"/>
    </row>
    <row r="249" spans="1:1" ht="30" customHeight="1">
      <c r="A249" s="94"/>
    </row>
    <row r="250" spans="1:1" ht="30" customHeight="1">
      <c r="A250" s="94"/>
    </row>
    <row r="251" spans="1:1" ht="30" customHeight="1">
      <c r="A251" s="94"/>
    </row>
    <row r="252" spans="1:1" ht="30" customHeight="1">
      <c r="A252" s="94"/>
    </row>
    <row r="253" spans="1:1" ht="30" customHeight="1">
      <c r="A253" s="94"/>
    </row>
    <row r="254" spans="1:1" ht="30" customHeight="1">
      <c r="A254" s="94"/>
    </row>
    <row r="255" spans="1:1" ht="30" customHeight="1">
      <c r="A255" s="94"/>
    </row>
    <row r="256" spans="1:1" ht="30" customHeight="1">
      <c r="A256" s="94"/>
    </row>
    <row r="257" spans="1:17" ht="30" customHeight="1">
      <c r="A257" s="94"/>
    </row>
    <row r="258" spans="1:17" ht="30" customHeight="1">
      <c r="A258" s="94"/>
    </row>
    <row r="259" spans="1:17" ht="30" customHeight="1">
      <c r="A259" s="94"/>
    </row>
    <row r="260" spans="1:17" ht="30" customHeight="1">
      <c r="A260" s="94"/>
    </row>
    <row r="261" spans="1:17" ht="30" customHeight="1">
      <c r="A261" s="94"/>
    </row>
    <row r="262" spans="1:17" ht="30" customHeight="1">
      <c r="A262" s="94"/>
    </row>
    <row r="263" spans="1:17" ht="14.25">
      <c r="Q263" s="79"/>
    </row>
    <row r="264" spans="1:17" ht="14.25">
      <c r="Q264" s="78"/>
    </row>
    <row r="265" spans="1:17" ht="14.25">
      <c r="Q265" s="78"/>
    </row>
    <row r="266" spans="1:17" ht="14.25">
      <c r="Q266" s="78"/>
    </row>
    <row r="267" spans="1:17" ht="14.25">
      <c r="Q267" s="78"/>
    </row>
    <row r="268" spans="1:17" ht="14.25">
      <c r="Q268" s="78"/>
    </row>
    <row r="269" spans="1:17" ht="14.25" hidden="1">
      <c r="Q269" s="77">
        <v>97.9</v>
      </c>
    </row>
    <row r="270" spans="1:17" ht="14.25" hidden="1">
      <c r="Q270" s="75" t="e">
        <v>#DIV/0!</v>
      </c>
    </row>
    <row r="271" spans="1:17" ht="14.25" hidden="1">
      <c r="Q271" s="75" t="e">
        <v>#DIV/0!</v>
      </c>
    </row>
    <row r="272" spans="1:17"/>
    <row r="283"/>
    <row r="284"/>
    <row r="285"/>
    <row r="286"/>
    <row r="287"/>
    <row r="420" spans="17:19" ht="15" hidden="1">
      <c r="Q420" s="46" t="e">
        <v>#DIV/0!</v>
      </c>
      <c r="R420" s="53" t="e">
        <f>IF(Q420&lt;5,"SI","NO")</f>
        <v>#DIV/0!</v>
      </c>
      <c r="S420" s="52" t="e">
        <f>IF(Q420&lt;5,"Sin Riesgo",IF(Q420 &lt;=14,"Bajo",IF(Q420&lt;=35,"Medio",IF(Q420&lt;=80,"Alto","Inviable Sanitariamente"))))</f>
        <v>#DIV/0!</v>
      </c>
    </row>
    <row r="421" spans="17:19" ht="15" hidden="1">
      <c r="Q421" s="46" t="e">
        <v>#DIV/0!</v>
      </c>
      <c r="R421" s="53" t="e">
        <f>IF(Q421&lt;5,"SI","NO")</f>
        <v>#DIV/0!</v>
      </c>
      <c r="S421" s="52" t="e">
        <f>IF(Q421&lt;5,"Sin Riesgo",IF(Q421 &lt;=14,"Bajo",IF(Q421&lt;=35,"Medio",IF(Q421&lt;=80,"Alto","Inviable Sanitariamente"))))</f>
        <v>#DIV/0!</v>
      </c>
    </row>
    <row r="422" spans="17:19" ht="15" hidden="1">
      <c r="Q422" s="46" t="e">
        <v>#DIV/0!</v>
      </c>
      <c r="R422" s="53" t="e">
        <f>IF(Q422&lt;5,"SI","NO")</f>
        <v>#DIV/0!</v>
      </c>
      <c r="S422" s="52" t="e">
        <f>IF(Q422&lt;5,"Sin Riesgo",IF(Q422 &lt;=14,"Bajo",IF(Q422&lt;=35,"Medio",IF(Q422&lt;=80,"Alto","Inviable Sanitariamente"))))</f>
        <v>#DIV/0!</v>
      </c>
    </row>
    <row r="423" spans="17:19" ht="15" hidden="1">
      <c r="Q423" s="46" t="e">
        <v>#DIV/0!</v>
      </c>
      <c r="R423" s="53" t="e">
        <f>IF(Q423&lt;5,"SI","NO")</f>
        <v>#DIV/0!</v>
      </c>
      <c r="S423" s="52" t="e">
        <f>IF(Q423&lt;5,"Sin Riesgo",IF(Q423 &lt;=14,"Bajo",IF(Q423&lt;=35,"Medio",IF(Q423&lt;=80,"Alto","Inviable Sanitariamente"))))</f>
        <v>#DIV/0!</v>
      </c>
    </row>
    <row r="424" spans="17:19" ht="15" hidden="1">
      <c r="Q424" s="46" t="e">
        <v>#DIV/0!</v>
      </c>
      <c r="R424" s="53" t="e">
        <f>IF(Q424&lt;5,"SI","NO")</f>
        <v>#DIV/0!</v>
      </c>
      <c r="S424" s="52" t="e">
        <f>IF(Q424&lt;5,"Sin Riesgo",IF(Q424 &lt;=14,"Bajo",IF(Q424&lt;=35,"Medio",IF(Q424&lt;=80,"Alto","Inviable Sanitariamente"))))</f>
        <v>#DIV/0!</v>
      </c>
    </row>
    <row r="425" spans="17:19"/>
    <row r="426" spans="17:19"/>
    <row r="427" spans="17:19"/>
    <row r="428" spans="17:19"/>
    <row r="429" spans="17:19"/>
    <row r="430" spans="17:19"/>
    <row r="431" spans="17:19"/>
    <row r="432" spans="17:19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</sheetData>
  <autoFilter ref="A10:W119" xr:uid="{00000000-0009-0000-0000-000001000000}">
    <sortState ref="A12:W122">
      <sortCondition ref="A9:A122"/>
    </sortState>
  </autoFilter>
  <customSheetViews>
    <customSheetView guid="{75DD7674-E7DE-4BB1-A36D-76AA33452CB3}" scale="60" showAutoFilter="1" hiddenRows="1" hiddenColumns="1">
      <selection activeCell="A8" sqref="A8:A9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121" xr:uid="{00000000-0000-0000-0000-000000000000}">
        <sortState ref="A12:W121">
          <sortCondition ref="A9:A121"/>
        </sortState>
      </autoFilter>
    </customSheetView>
    <customSheetView guid="{AEDE1BDB-8710-4CDA-8488-31F49D423ACE}" scale="60" showAutoFilter="1" hiddenRows="1" hiddenColumns="1" topLeftCell="G100">
      <selection activeCell="G118" sqref="A118:XFD12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122" xr:uid="{00000000-0000-0000-0000-000000000000}"/>
    </customSheetView>
    <customSheetView guid="{FCC3B493-4306-43B2-9C73-76324485DD47}" scale="60" showAutoFilter="1" hiddenRows="1" hiddenColumns="1" topLeftCell="A97">
      <selection activeCell="F126" sqref="F126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121" xr:uid="{00000000-0000-0000-0000-000000000000}">
        <sortState ref="A12:W121">
          <sortCondition ref="A9:A121"/>
        </sortState>
      </autoFilter>
    </customSheetView>
    <customSheetView guid="{45C8AF51-29EC-46A5-AB7F-1F0634E55D82}" scale="60" showAutoFilter="1" hiddenRows="1" hiddenColumns="1">
      <selection activeCell="C135" sqref="C135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121" xr:uid="{00000000-0000-0000-0000-000000000000}">
        <sortState ref="A12:W121">
          <sortCondition ref="A9:A121"/>
        </sortState>
      </autoFilter>
    </customSheetView>
  </customSheetViews>
  <mergeCells count="20">
    <mergeCell ref="C122:S122"/>
    <mergeCell ref="A9:A10"/>
    <mergeCell ref="S9:S10"/>
    <mergeCell ref="R9:R10"/>
    <mergeCell ref="D9:D10"/>
    <mergeCell ref="B9:B10"/>
    <mergeCell ref="C9:C10"/>
    <mergeCell ref="E9:P9"/>
    <mergeCell ref="Q9:Q10"/>
    <mergeCell ref="S5:S6"/>
    <mergeCell ref="B1:D1"/>
    <mergeCell ref="B2:D2"/>
    <mergeCell ref="B3:D3"/>
    <mergeCell ref="E5:G6"/>
    <mergeCell ref="A7:B7"/>
    <mergeCell ref="H5:J6"/>
    <mergeCell ref="K5:M6"/>
    <mergeCell ref="N5:P6"/>
    <mergeCell ref="Q5:R6"/>
    <mergeCell ref="B5:C6"/>
  </mergeCells>
  <phoneticPr fontId="2" type="noConversion"/>
  <conditionalFormatting sqref="R26 R30:R40 R110 R12:R20 R42 R98:R103 R57:R96">
    <cfRule type="cellIs" dxfId="12430" priority="2699" stopIfTrue="1" operator="equal">
      <formula>"NO"</formula>
    </cfRule>
  </conditionalFormatting>
  <conditionalFormatting sqref="R92:R96">
    <cfRule type="cellIs" dxfId="12429" priority="2658" stopIfTrue="1" operator="equal">
      <formula>"NO"</formula>
    </cfRule>
  </conditionalFormatting>
  <conditionalFormatting sqref="R92:R96">
    <cfRule type="cellIs" dxfId="12428" priority="2656" stopIfTrue="1" operator="equal">
      <formula>"NO"</formula>
    </cfRule>
  </conditionalFormatting>
  <conditionalFormatting sqref="R21">
    <cfRule type="cellIs" dxfId="12427" priority="2430" stopIfTrue="1" operator="equal">
      <formula>"NO"</formula>
    </cfRule>
  </conditionalFormatting>
  <conditionalFormatting sqref="R21">
    <cfRule type="cellIs" dxfId="12426" priority="2429" stopIfTrue="1" operator="equal">
      <formula>"NO"</formula>
    </cfRule>
  </conditionalFormatting>
  <conditionalFormatting sqref="R21">
    <cfRule type="cellIs" dxfId="12425" priority="2427" stopIfTrue="1" operator="equal">
      <formula>"NO"</formula>
    </cfRule>
  </conditionalFormatting>
  <conditionalFormatting sqref="R25">
    <cfRule type="cellIs" dxfId="12424" priority="2404" stopIfTrue="1" operator="equal">
      <formula>"NO"</formula>
    </cfRule>
  </conditionalFormatting>
  <conditionalFormatting sqref="R25">
    <cfRule type="cellIs" dxfId="12423" priority="2403" stopIfTrue="1" operator="equal">
      <formula>"NO"</formula>
    </cfRule>
  </conditionalFormatting>
  <conditionalFormatting sqref="R25">
    <cfRule type="cellIs" dxfId="12422" priority="2401" stopIfTrue="1" operator="equal">
      <formula>"NO"</formula>
    </cfRule>
  </conditionalFormatting>
  <conditionalFormatting sqref="R24">
    <cfRule type="cellIs" dxfId="12421" priority="2378" stopIfTrue="1" operator="equal">
      <formula>"NO"</formula>
    </cfRule>
  </conditionalFormatting>
  <conditionalFormatting sqref="R24">
    <cfRule type="cellIs" dxfId="12420" priority="2377" stopIfTrue="1" operator="equal">
      <formula>"NO"</formula>
    </cfRule>
  </conditionalFormatting>
  <conditionalFormatting sqref="R24">
    <cfRule type="cellIs" dxfId="12419" priority="2375" stopIfTrue="1" operator="equal">
      <formula>"NO"</formula>
    </cfRule>
  </conditionalFormatting>
  <conditionalFormatting sqref="R22">
    <cfRule type="cellIs" dxfId="12418" priority="2352" stopIfTrue="1" operator="equal">
      <formula>"NO"</formula>
    </cfRule>
  </conditionalFormatting>
  <conditionalFormatting sqref="R22">
    <cfRule type="cellIs" dxfId="12417" priority="2351" stopIfTrue="1" operator="equal">
      <formula>"NO"</formula>
    </cfRule>
  </conditionalFormatting>
  <conditionalFormatting sqref="R22">
    <cfRule type="cellIs" dxfId="12416" priority="2349" stopIfTrue="1" operator="equal">
      <formula>"NO"</formula>
    </cfRule>
  </conditionalFormatting>
  <conditionalFormatting sqref="R23">
    <cfRule type="cellIs" dxfId="12415" priority="2326" stopIfTrue="1" operator="equal">
      <formula>"NO"</formula>
    </cfRule>
  </conditionalFormatting>
  <conditionalFormatting sqref="R23">
    <cfRule type="cellIs" dxfId="12414" priority="2325" stopIfTrue="1" operator="equal">
      <formula>"NO"</formula>
    </cfRule>
  </conditionalFormatting>
  <conditionalFormatting sqref="R23">
    <cfRule type="cellIs" dxfId="12413" priority="2323" stopIfTrue="1" operator="equal">
      <formula>"NO"</formula>
    </cfRule>
  </conditionalFormatting>
  <conditionalFormatting sqref="R28">
    <cfRule type="cellIs" dxfId="12412" priority="2248" stopIfTrue="1" operator="equal">
      <formula>"NO"</formula>
    </cfRule>
  </conditionalFormatting>
  <conditionalFormatting sqref="R28">
    <cfRule type="cellIs" dxfId="12411" priority="2247" stopIfTrue="1" operator="equal">
      <formula>"NO"</formula>
    </cfRule>
  </conditionalFormatting>
  <conditionalFormatting sqref="R28">
    <cfRule type="cellIs" dxfId="12410" priority="2245" stopIfTrue="1" operator="equal">
      <formula>"NO"</formula>
    </cfRule>
  </conditionalFormatting>
  <conditionalFormatting sqref="R27">
    <cfRule type="cellIs" dxfId="12409" priority="2196" stopIfTrue="1" operator="equal">
      <formula>"NO"</formula>
    </cfRule>
  </conditionalFormatting>
  <conditionalFormatting sqref="R27">
    <cfRule type="cellIs" dxfId="12408" priority="2195" stopIfTrue="1" operator="equal">
      <formula>"NO"</formula>
    </cfRule>
  </conditionalFormatting>
  <conditionalFormatting sqref="R27">
    <cfRule type="cellIs" dxfId="12407" priority="2193" stopIfTrue="1" operator="equal">
      <formula>"NO"</formula>
    </cfRule>
  </conditionalFormatting>
  <conditionalFormatting sqref="R29">
    <cfRule type="cellIs" dxfId="12406" priority="2170" stopIfTrue="1" operator="equal">
      <formula>"NO"</formula>
    </cfRule>
  </conditionalFormatting>
  <conditionalFormatting sqref="R29">
    <cfRule type="cellIs" dxfId="12405" priority="2169" stopIfTrue="1" operator="equal">
      <formula>"NO"</formula>
    </cfRule>
  </conditionalFormatting>
  <conditionalFormatting sqref="R29">
    <cfRule type="cellIs" dxfId="12404" priority="2167" stopIfTrue="1" operator="equal">
      <formula>"NO"</formula>
    </cfRule>
  </conditionalFormatting>
  <conditionalFormatting sqref="S11:S40 S57:S120">
    <cfRule type="cellIs" dxfId="12403" priority="1907" stopIfTrue="1" operator="equal">
      <formula>"INVIABLE SANITARIAMENTE"</formula>
    </cfRule>
  </conditionalFormatting>
  <conditionalFormatting sqref="S120">
    <cfRule type="containsText" dxfId="12402" priority="1902" stopIfTrue="1" operator="containsText" text="INVIABLE SANITARIAMENTE">
      <formula>NOT(ISERROR(SEARCH("INVIABLE SANITARIAMENTE",S120)))</formula>
    </cfRule>
    <cfRule type="containsText" dxfId="12401" priority="1903" stopIfTrue="1" operator="containsText" text="ALTO">
      <formula>NOT(ISERROR(SEARCH("ALTO",S120)))</formula>
    </cfRule>
    <cfRule type="containsText" dxfId="12400" priority="1904" stopIfTrue="1" operator="containsText" text="MEDIO">
      <formula>NOT(ISERROR(SEARCH("MEDIO",S120)))</formula>
    </cfRule>
    <cfRule type="containsText" dxfId="12399" priority="1905" stopIfTrue="1" operator="containsText" text="BAJO">
      <formula>NOT(ISERROR(SEARCH("BAJO",S120)))</formula>
    </cfRule>
    <cfRule type="containsText" dxfId="12398" priority="1906" stopIfTrue="1" operator="containsText" text="SIN RIESGO">
      <formula>NOT(ISERROR(SEARCH("SIN RIESGO",S120)))</formula>
    </cfRule>
  </conditionalFormatting>
  <conditionalFormatting sqref="S11:S40 S57:S120">
    <cfRule type="containsText" dxfId="12397" priority="1901" stopIfTrue="1" operator="containsText" text="SIN RIESGO">
      <formula>NOT(ISERROR(SEARCH("SIN RIESGO",S11)))</formula>
    </cfRule>
  </conditionalFormatting>
  <conditionalFormatting sqref="E101:P101 Q63:Q67 E31 Q73:Q77 E68:Q68 E62:Q62 Q42:Q61 E70:Q72 Q69 Q11:Q40 Q85:Q120">
    <cfRule type="containsBlanks" dxfId="12396" priority="1894" stopIfTrue="1">
      <formula>LEN(TRIM(E11))=0</formula>
    </cfRule>
    <cfRule type="cellIs" dxfId="12395" priority="1895" stopIfTrue="1" operator="between">
      <formula>80.1</formula>
      <formula>100</formula>
    </cfRule>
    <cfRule type="cellIs" dxfId="12394" priority="1896" stopIfTrue="1" operator="between">
      <formula>35.1</formula>
      <formula>80</formula>
    </cfRule>
    <cfRule type="cellIs" dxfId="12393" priority="1897" stopIfTrue="1" operator="between">
      <formula>14.1</formula>
      <formula>35</formula>
    </cfRule>
    <cfRule type="cellIs" dxfId="12392" priority="1898" stopIfTrue="1" operator="between">
      <formula>5.1</formula>
      <formula>14</formula>
    </cfRule>
    <cfRule type="cellIs" dxfId="12391" priority="1899" stopIfTrue="1" operator="between">
      <formula>0</formula>
      <formula>5</formula>
    </cfRule>
    <cfRule type="containsBlanks" dxfId="12390" priority="1900" stopIfTrue="1">
      <formula>LEN(TRIM(E11))=0</formula>
    </cfRule>
  </conditionalFormatting>
  <conditionalFormatting sqref="Q29 Q33 Q36:Q40 Q42">
    <cfRule type="containsBlanks" dxfId="12389" priority="1887" stopIfTrue="1">
      <formula>LEN(TRIM(Q29))=0</formula>
    </cfRule>
    <cfRule type="cellIs" dxfId="12388" priority="1888" stopIfTrue="1" operator="between">
      <formula>80.1</formula>
      <formula>100</formula>
    </cfRule>
    <cfRule type="cellIs" dxfId="12387" priority="1889" stopIfTrue="1" operator="between">
      <formula>35.1</formula>
      <formula>80</formula>
    </cfRule>
    <cfRule type="cellIs" dxfId="12386" priority="1890" stopIfTrue="1" operator="between">
      <formula>14.1</formula>
      <formula>35</formula>
    </cfRule>
    <cfRule type="cellIs" dxfId="12385" priority="1891" stopIfTrue="1" operator="between">
      <formula>5.1</formula>
      <formula>14</formula>
    </cfRule>
    <cfRule type="cellIs" dxfId="12384" priority="1892" stopIfTrue="1" operator="between">
      <formula>0</formula>
      <formula>5</formula>
    </cfRule>
    <cfRule type="containsBlanks" dxfId="12383" priority="1893" stopIfTrue="1">
      <formula>LEN(TRIM(Q29))=0</formula>
    </cfRule>
  </conditionalFormatting>
  <conditionalFormatting sqref="E36:P38 E13:P13 E42:P42 E40:P40 E97:P97 E100:P105 E120:P120 E24:P25 E29:P32">
    <cfRule type="containsBlanks" dxfId="12382" priority="1880" stopIfTrue="1">
      <formula>LEN(TRIM(E13))=0</formula>
    </cfRule>
    <cfRule type="cellIs" dxfId="12381" priority="1881" stopIfTrue="1" operator="between">
      <formula>79.1</formula>
      <formula>100</formula>
    </cfRule>
    <cfRule type="cellIs" dxfId="12380" priority="1882" stopIfTrue="1" operator="between">
      <formula>34.1</formula>
      <formula>79</formula>
    </cfRule>
    <cfRule type="cellIs" dxfId="12379" priority="1883" stopIfTrue="1" operator="between">
      <formula>13.1</formula>
      <formula>34</formula>
    </cfRule>
    <cfRule type="cellIs" dxfId="12378" priority="1884" stopIfTrue="1" operator="between">
      <formula>5.1</formula>
      <formula>13</formula>
    </cfRule>
    <cfRule type="cellIs" dxfId="12377" priority="1885" stopIfTrue="1" operator="between">
      <formula>0</formula>
      <formula>5</formula>
    </cfRule>
    <cfRule type="containsBlanks" dxfId="12376" priority="1886" stopIfTrue="1">
      <formula>LEN(TRIM(E13))=0</formula>
    </cfRule>
  </conditionalFormatting>
  <conditionalFormatting sqref="Q21">
    <cfRule type="containsBlanks" dxfId="12375" priority="1873" stopIfTrue="1">
      <formula>LEN(TRIM(Q21))=0</formula>
    </cfRule>
    <cfRule type="cellIs" dxfId="12374" priority="1874" stopIfTrue="1" operator="between">
      <formula>80.1</formula>
      <formula>100</formula>
    </cfRule>
    <cfRule type="cellIs" dxfId="12373" priority="1875" stopIfTrue="1" operator="between">
      <formula>35.1</formula>
      <formula>80</formula>
    </cfRule>
    <cfRule type="cellIs" dxfId="12372" priority="1876" stopIfTrue="1" operator="between">
      <formula>14.1</formula>
      <formula>35</formula>
    </cfRule>
    <cfRule type="cellIs" dxfId="12371" priority="1877" stopIfTrue="1" operator="between">
      <formula>5.1</formula>
      <formula>14</formula>
    </cfRule>
    <cfRule type="cellIs" dxfId="12370" priority="1878" stopIfTrue="1" operator="between">
      <formula>0</formula>
      <formula>5</formula>
    </cfRule>
    <cfRule type="containsBlanks" dxfId="12369" priority="1879" stopIfTrue="1">
      <formula>LEN(TRIM(Q21))=0</formula>
    </cfRule>
  </conditionalFormatting>
  <conditionalFormatting sqref="F22:Q22">
    <cfRule type="containsBlanks" dxfId="12368" priority="1831" stopIfTrue="1">
      <formula>LEN(TRIM(F22))=0</formula>
    </cfRule>
    <cfRule type="cellIs" dxfId="12367" priority="1832" stopIfTrue="1" operator="between">
      <formula>80.1</formula>
      <formula>100</formula>
    </cfRule>
    <cfRule type="cellIs" dxfId="12366" priority="1833" stopIfTrue="1" operator="between">
      <formula>35.1</formula>
      <formula>80</formula>
    </cfRule>
    <cfRule type="cellIs" dxfId="12365" priority="1834" stopIfTrue="1" operator="between">
      <formula>14.1</formula>
      <formula>35</formula>
    </cfRule>
    <cfRule type="cellIs" dxfId="12364" priority="1835" stopIfTrue="1" operator="between">
      <formula>5.1</formula>
      <formula>14</formula>
    </cfRule>
    <cfRule type="cellIs" dxfId="12363" priority="1836" stopIfTrue="1" operator="between">
      <formula>0</formula>
      <formula>5</formula>
    </cfRule>
    <cfRule type="containsBlanks" dxfId="12362" priority="1837" stopIfTrue="1">
      <formula>LEN(TRIM(F22))=0</formula>
    </cfRule>
  </conditionalFormatting>
  <conditionalFormatting sqref="E22">
    <cfRule type="containsBlanks" dxfId="12361" priority="1824" stopIfTrue="1">
      <formula>LEN(TRIM(E22))=0</formula>
    </cfRule>
    <cfRule type="cellIs" dxfId="12360" priority="1825" stopIfTrue="1" operator="between">
      <formula>80.1</formula>
      <formula>100</formula>
    </cfRule>
    <cfRule type="cellIs" dxfId="12359" priority="1826" stopIfTrue="1" operator="between">
      <formula>35.1</formula>
      <formula>80</formula>
    </cfRule>
    <cfRule type="cellIs" dxfId="12358" priority="1827" stopIfTrue="1" operator="between">
      <formula>14.1</formula>
      <formula>35</formula>
    </cfRule>
    <cfRule type="cellIs" dxfId="12357" priority="1828" stopIfTrue="1" operator="between">
      <formula>5.1</formula>
      <formula>14</formula>
    </cfRule>
    <cfRule type="cellIs" dxfId="12356" priority="1829" stopIfTrue="1" operator="between">
      <formula>0</formula>
      <formula>5</formula>
    </cfRule>
    <cfRule type="containsBlanks" dxfId="12355" priority="1830" stopIfTrue="1">
      <formula>LEN(TRIM(E22))=0</formula>
    </cfRule>
  </conditionalFormatting>
  <conditionalFormatting sqref="Q23">
    <cfRule type="containsBlanks" dxfId="12354" priority="1817" stopIfTrue="1">
      <formula>LEN(TRIM(Q23))=0</formula>
    </cfRule>
    <cfRule type="cellIs" dxfId="12353" priority="1818" stopIfTrue="1" operator="between">
      <formula>80.1</formula>
      <formula>100</formula>
    </cfRule>
    <cfRule type="cellIs" dxfId="12352" priority="1819" stopIfTrue="1" operator="between">
      <formula>35.1</formula>
      <formula>80</formula>
    </cfRule>
    <cfRule type="cellIs" dxfId="12351" priority="1820" stopIfTrue="1" operator="between">
      <formula>14.1</formula>
      <formula>35</formula>
    </cfRule>
    <cfRule type="cellIs" dxfId="12350" priority="1821" stopIfTrue="1" operator="between">
      <formula>5.1</formula>
      <formula>14</formula>
    </cfRule>
    <cfRule type="cellIs" dxfId="12349" priority="1822" stopIfTrue="1" operator="between">
      <formula>0</formula>
      <formula>5</formula>
    </cfRule>
    <cfRule type="containsBlanks" dxfId="12348" priority="1823" stopIfTrue="1">
      <formula>LEN(TRIM(Q23))=0</formula>
    </cfRule>
  </conditionalFormatting>
  <conditionalFormatting sqref="Q27">
    <cfRule type="containsBlanks" dxfId="12347" priority="1803" stopIfTrue="1">
      <formula>LEN(TRIM(Q27))=0</formula>
    </cfRule>
    <cfRule type="cellIs" dxfId="12346" priority="1804" stopIfTrue="1" operator="between">
      <formula>80.1</formula>
      <formula>100</formula>
    </cfRule>
    <cfRule type="cellIs" dxfId="12345" priority="1805" stopIfTrue="1" operator="between">
      <formula>35.1</formula>
      <formula>80</formula>
    </cfRule>
    <cfRule type="cellIs" dxfId="12344" priority="1806" stopIfTrue="1" operator="between">
      <formula>14.1</formula>
      <formula>35</formula>
    </cfRule>
    <cfRule type="cellIs" dxfId="12343" priority="1807" stopIfTrue="1" operator="between">
      <formula>5.1</formula>
      <formula>14</formula>
    </cfRule>
    <cfRule type="cellIs" dxfId="12342" priority="1808" stopIfTrue="1" operator="between">
      <formula>0</formula>
      <formula>5</formula>
    </cfRule>
    <cfRule type="containsBlanks" dxfId="12341" priority="1809" stopIfTrue="1">
      <formula>LEN(TRIM(Q27))=0</formula>
    </cfRule>
  </conditionalFormatting>
  <conditionalFormatting sqref="F32:Q32">
    <cfRule type="containsBlanks" dxfId="12340" priority="1789" stopIfTrue="1">
      <formula>LEN(TRIM(F32))=0</formula>
    </cfRule>
    <cfRule type="cellIs" dxfId="12339" priority="1790" stopIfTrue="1" operator="between">
      <formula>80.1</formula>
      <formula>100</formula>
    </cfRule>
    <cfRule type="cellIs" dxfId="12338" priority="1791" stopIfTrue="1" operator="between">
      <formula>35.1</formula>
      <formula>80</formula>
    </cfRule>
    <cfRule type="cellIs" dxfId="12337" priority="1792" stopIfTrue="1" operator="between">
      <formula>14.1</formula>
      <formula>35</formula>
    </cfRule>
    <cfRule type="cellIs" dxfId="12336" priority="1793" stopIfTrue="1" operator="between">
      <formula>5.1</formula>
      <formula>14</formula>
    </cfRule>
    <cfRule type="cellIs" dxfId="12335" priority="1794" stopIfTrue="1" operator="between">
      <formula>0</formula>
      <formula>5</formula>
    </cfRule>
    <cfRule type="containsBlanks" dxfId="12334" priority="1795" stopIfTrue="1">
      <formula>LEN(TRIM(F32))=0</formula>
    </cfRule>
  </conditionalFormatting>
  <conditionalFormatting sqref="E32">
    <cfRule type="containsBlanks" dxfId="12333" priority="1782" stopIfTrue="1">
      <formula>LEN(TRIM(E32))=0</formula>
    </cfRule>
    <cfRule type="cellIs" dxfId="12332" priority="1783" stopIfTrue="1" operator="between">
      <formula>80.1</formula>
      <formula>100</formula>
    </cfRule>
    <cfRule type="cellIs" dxfId="12331" priority="1784" stopIfTrue="1" operator="between">
      <formula>35.1</formula>
      <formula>80</formula>
    </cfRule>
    <cfRule type="cellIs" dxfId="12330" priority="1785" stopIfTrue="1" operator="between">
      <formula>14.1</formula>
      <formula>35</formula>
    </cfRule>
    <cfRule type="cellIs" dxfId="12329" priority="1786" stopIfTrue="1" operator="between">
      <formula>5.1</formula>
      <formula>14</formula>
    </cfRule>
    <cfRule type="cellIs" dxfId="12328" priority="1787" stopIfTrue="1" operator="between">
      <formula>0</formula>
      <formula>5</formula>
    </cfRule>
    <cfRule type="containsBlanks" dxfId="12327" priority="1788" stopIfTrue="1">
      <formula>LEN(TRIM(E32))=0</formula>
    </cfRule>
  </conditionalFormatting>
  <conditionalFormatting sqref="F34:Q34">
    <cfRule type="containsBlanks" dxfId="12326" priority="1775" stopIfTrue="1">
      <formula>LEN(TRIM(F34))=0</formula>
    </cfRule>
    <cfRule type="cellIs" dxfId="12325" priority="1776" stopIfTrue="1" operator="between">
      <formula>80.1</formula>
      <formula>100</formula>
    </cfRule>
    <cfRule type="cellIs" dxfId="12324" priority="1777" stopIfTrue="1" operator="between">
      <formula>35.1</formula>
      <formula>80</formula>
    </cfRule>
    <cfRule type="cellIs" dxfId="12323" priority="1778" stopIfTrue="1" operator="between">
      <formula>14.1</formula>
      <formula>35</formula>
    </cfRule>
    <cfRule type="cellIs" dxfId="12322" priority="1779" stopIfTrue="1" operator="between">
      <formula>5.1</formula>
      <formula>14</formula>
    </cfRule>
    <cfRule type="cellIs" dxfId="12321" priority="1780" stopIfTrue="1" operator="between">
      <formula>0</formula>
      <formula>5</formula>
    </cfRule>
    <cfRule type="containsBlanks" dxfId="12320" priority="1781" stopIfTrue="1">
      <formula>LEN(TRIM(F34))=0</formula>
    </cfRule>
  </conditionalFormatting>
  <conditionalFormatting sqref="E34">
    <cfRule type="containsBlanks" dxfId="12319" priority="1768" stopIfTrue="1">
      <formula>LEN(TRIM(E34))=0</formula>
    </cfRule>
    <cfRule type="cellIs" dxfId="12318" priority="1769" stopIfTrue="1" operator="between">
      <formula>80.1</formula>
      <formula>100</formula>
    </cfRule>
    <cfRule type="cellIs" dxfId="12317" priority="1770" stopIfTrue="1" operator="between">
      <formula>35.1</formula>
      <formula>80</formula>
    </cfRule>
    <cfRule type="cellIs" dxfId="12316" priority="1771" stopIfTrue="1" operator="between">
      <formula>14.1</formula>
      <formula>35</formula>
    </cfRule>
    <cfRule type="cellIs" dxfId="12315" priority="1772" stopIfTrue="1" operator="between">
      <formula>5.1</formula>
      <formula>14</formula>
    </cfRule>
    <cfRule type="cellIs" dxfId="12314" priority="1773" stopIfTrue="1" operator="between">
      <formula>0</formula>
      <formula>5</formula>
    </cfRule>
    <cfRule type="containsBlanks" dxfId="12313" priority="1774" stopIfTrue="1">
      <formula>LEN(TRIM(E34))=0</formula>
    </cfRule>
  </conditionalFormatting>
  <conditionalFormatting sqref="F31:P31">
    <cfRule type="containsBlanks" dxfId="12312" priority="1761" stopIfTrue="1">
      <formula>LEN(TRIM(F31))=0</formula>
    </cfRule>
    <cfRule type="cellIs" dxfId="12311" priority="1762" stopIfTrue="1" operator="between">
      <formula>80.1</formula>
      <formula>100</formula>
    </cfRule>
    <cfRule type="cellIs" dxfId="12310" priority="1763" stopIfTrue="1" operator="between">
      <formula>35.1</formula>
      <formula>80</formula>
    </cfRule>
    <cfRule type="cellIs" dxfId="12309" priority="1764" stopIfTrue="1" operator="between">
      <formula>14.1</formula>
      <formula>35</formula>
    </cfRule>
    <cfRule type="cellIs" dxfId="12308" priority="1765" stopIfTrue="1" operator="between">
      <formula>5.1</formula>
      <formula>14</formula>
    </cfRule>
    <cfRule type="cellIs" dxfId="12307" priority="1766" stopIfTrue="1" operator="between">
      <formula>0</formula>
      <formula>5</formula>
    </cfRule>
    <cfRule type="containsBlanks" dxfId="12306" priority="1767" stopIfTrue="1">
      <formula>LEN(TRIM(F31))=0</formula>
    </cfRule>
  </conditionalFormatting>
  <conditionalFormatting sqref="F35:Q35">
    <cfRule type="containsBlanks" dxfId="12305" priority="1747" stopIfTrue="1">
      <formula>LEN(TRIM(F35))=0</formula>
    </cfRule>
    <cfRule type="cellIs" dxfId="12304" priority="1748" stopIfTrue="1" operator="between">
      <formula>80.1</formula>
      <formula>100</formula>
    </cfRule>
    <cfRule type="cellIs" dxfId="12303" priority="1749" stopIfTrue="1" operator="between">
      <formula>35.1</formula>
      <formula>80</formula>
    </cfRule>
    <cfRule type="cellIs" dxfId="12302" priority="1750" stopIfTrue="1" operator="between">
      <formula>14.1</formula>
      <formula>35</formula>
    </cfRule>
    <cfRule type="cellIs" dxfId="12301" priority="1751" stopIfTrue="1" operator="between">
      <formula>5.1</formula>
      <formula>14</formula>
    </cfRule>
    <cfRule type="cellIs" dxfId="12300" priority="1752" stopIfTrue="1" operator="between">
      <formula>0</formula>
      <formula>5</formula>
    </cfRule>
    <cfRule type="containsBlanks" dxfId="12299" priority="1753" stopIfTrue="1">
      <formula>LEN(TRIM(F35))=0</formula>
    </cfRule>
  </conditionalFormatting>
  <conditionalFormatting sqref="E35">
    <cfRule type="containsBlanks" dxfId="12298" priority="1740" stopIfTrue="1">
      <formula>LEN(TRIM(E35))=0</formula>
    </cfRule>
    <cfRule type="cellIs" dxfId="12297" priority="1741" stopIfTrue="1" operator="between">
      <formula>80.1</formula>
      <formula>100</formula>
    </cfRule>
    <cfRule type="cellIs" dxfId="12296" priority="1742" stopIfTrue="1" operator="between">
      <formula>35.1</formula>
      <formula>80</formula>
    </cfRule>
    <cfRule type="cellIs" dxfId="12295" priority="1743" stopIfTrue="1" operator="between">
      <formula>14.1</formula>
      <formula>35</formula>
    </cfRule>
    <cfRule type="cellIs" dxfId="12294" priority="1744" stopIfTrue="1" operator="between">
      <formula>5.1</formula>
      <formula>14</formula>
    </cfRule>
    <cfRule type="cellIs" dxfId="12293" priority="1745" stopIfTrue="1" operator="between">
      <formula>0</formula>
      <formula>5</formula>
    </cfRule>
    <cfRule type="containsBlanks" dxfId="12292" priority="1746" stopIfTrue="1">
      <formula>LEN(TRIM(E35))=0</formula>
    </cfRule>
  </conditionalFormatting>
  <conditionalFormatting sqref="E14:P14">
    <cfRule type="containsBlanks" dxfId="12291" priority="1600" stopIfTrue="1">
      <formula>LEN(TRIM(E14))=0</formula>
    </cfRule>
    <cfRule type="cellIs" dxfId="12290" priority="1601" stopIfTrue="1" operator="between">
      <formula>79.1</formula>
      <formula>100</formula>
    </cfRule>
    <cfRule type="cellIs" dxfId="12289" priority="1602" stopIfTrue="1" operator="between">
      <formula>34.1</formula>
      <formula>79</formula>
    </cfRule>
    <cfRule type="cellIs" dxfId="12288" priority="1603" stopIfTrue="1" operator="between">
      <formula>13.1</formula>
      <formula>34</formula>
    </cfRule>
    <cfRule type="cellIs" dxfId="12287" priority="1604" stopIfTrue="1" operator="between">
      <formula>5.1</formula>
      <formula>13</formula>
    </cfRule>
    <cfRule type="cellIs" dxfId="12286" priority="1605" stopIfTrue="1" operator="between">
      <formula>0</formula>
      <formula>5</formula>
    </cfRule>
    <cfRule type="containsBlanks" dxfId="12285" priority="1606" stopIfTrue="1">
      <formula>LEN(TRIM(E14))=0</formula>
    </cfRule>
  </conditionalFormatting>
  <conditionalFormatting sqref="E17:P18">
    <cfRule type="containsBlanks" dxfId="12284" priority="1712" stopIfTrue="1">
      <formula>LEN(TRIM(E17))=0</formula>
    </cfRule>
    <cfRule type="cellIs" dxfId="12283" priority="1713" stopIfTrue="1" operator="between">
      <formula>79.1</formula>
      <formula>100</formula>
    </cfRule>
    <cfRule type="cellIs" dxfId="12282" priority="1714" stopIfTrue="1" operator="between">
      <formula>34.1</formula>
      <formula>79</formula>
    </cfRule>
    <cfRule type="cellIs" dxfId="12281" priority="1715" stopIfTrue="1" operator="between">
      <formula>13.1</formula>
      <formula>34</formula>
    </cfRule>
    <cfRule type="cellIs" dxfId="12280" priority="1716" stopIfTrue="1" operator="between">
      <formula>5.1</formula>
      <formula>13</formula>
    </cfRule>
    <cfRule type="cellIs" dxfId="12279" priority="1717" stopIfTrue="1" operator="between">
      <formula>0</formula>
      <formula>5</formula>
    </cfRule>
    <cfRule type="containsBlanks" dxfId="12278" priority="1718" stopIfTrue="1">
      <formula>LEN(TRIM(E17))=0</formula>
    </cfRule>
  </conditionalFormatting>
  <conditionalFormatting sqref="E11:P20 E42:P42 E62:P62 E22:P22 E34:P38 E40:P40 E68:P68 E70:P74 E77:P77">
    <cfRule type="containsBlanks" dxfId="12277" priority="1719" stopIfTrue="1">
      <formula>LEN(TRIM(E11))=0</formula>
    </cfRule>
    <cfRule type="cellIs" dxfId="12276" priority="1720" stopIfTrue="1" operator="between">
      <formula>79.1</formula>
      <formula>100</formula>
    </cfRule>
    <cfRule type="cellIs" dxfId="12275" priority="1721" stopIfTrue="1" operator="between">
      <formula>34.1</formula>
      <formula>79</formula>
    </cfRule>
    <cfRule type="cellIs" dxfId="12274" priority="1722" stopIfTrue="1" operator="between">
      <formula>13.1</formula>
      <formula>34</formula>
    </cfRule>
    <cfRule type="cellIs" dxfId="12273" priority="1723" stopIfTrue="1" operator="between">
      <formula>5.1</formula>
      <formula>13</formula>
    </cfRule>
    <cfRule type="cellIs" dxfId="12272" priority="1724" stopIfTrue="1" operator="between">
      <formula>0</formula>
      <formula>5</formula>
    </cfRule>
    <cfRule type="containsBlanks" dxfId="12271" priority="1725" stopIfTrue="1">
      <formula>LEN(TRIM(E11))=0</formula>
    </cfRule>
  </conditionalFormatting>
  <conditionalFormatting sqref="E19:P20">
    <cfRule type="containsBlanks" dxfId="12270" priority="1705" stopIfTrue="1">
      <formula>LEN(TRIM(E19))=0</formula>
    </cfRule>
    <cfRule type="cellIs" dxfId="12269" priority="1706" stopIfTrue="1" operator="between">
      <formula>79.1</formula>
      <formula>100</formula>
    </cfRule>
    <cfRule type="cellIs" dxfId="12268" priority="1707" stopIfTrue="1" operator="between">
      <formula>34.1</formula>
      <formula>79</formula>
    </cfRule>
    <cfRule type="cellIs" dxfId="12267" priority="1708" stopIfTrue="1" operator="between">
      <formula>13.1</formula>
      <formula>34</formula>
    </cfRule>
    <cfRule type="cellIs" dxfId="12266" priority="1709" stopIfTrue="1" operator="between">
      <formula>5.1</formula>
      <formula>13</formula>
    </cfRule>
    <cfRule type="cellIs" dxfId="12265" priority="1710" stopIfTrue="1" operator="between">
      <formula>0</formula>
      <formula>5</formula>
    </cfRule>
    <cfRule type="containsBlanks" dxfId="12264" priority="1711" stopIfTrue="1">
      <formula>LEN(TRIM(E19))=0</formula>
    </cfRule>
  </conditionalFormatting>
  <conditionalFormatting sqref="Q31">
    <cfRule type="containsBlanks" dxfId="12263" priority="1607" stopIfTrue="1">
      <formula>LEN(TRIM(Q31))=0</formula>
    </cfRule>
    <cfRule type="cellIs" dxfId="12262" priority="1608" stopIfTrue="1" operator="between">
      <formula>80.1</formula>
      <formula>100</formula>
    </cfRule>
    <cfRule type="cellIs" dxfId="12261" priority="1609" stopIfTrue="1" operator="between">
      <formula>35.1</formula>
      <formula>80</formula>
    </cfRule>
    <cfRule type="cellIs" dxfId="12260" priority="1610" stopIfTrue="1" operator="between">
      <formula>14.1</formula>
      <formula>35</formula>
    </cfRule>
    <cfRule type="cellIs" dxfId="12259" priority="1611" stopIfTrue="1" operator="between">
      <formula>5.1</formula>
      <formula>14</formula>
    </cfRule>
    <cfRule type="cellIs" dxfId="12258" priority="1612" stopIfTrue="1" operator="between">
      <formula>0</formula>
      <formula>5</formula>
    </cfRule>
    <cfRule type="containsBlanks" dxfId="12257" priority="1613" stopIfTrue="1">
      <formula>LEN(TRIM(Q31))=0</formula>
    </cfRule>
  </conditionalFormatting>
  <conditionalFormatting sqref="E15:P15">
    <cfRule type="containsBlanks" dxfId="12256" priority="1593" stopIfTrue="1">
      <formula>LEN(TRIM(E15))=0</formula>
    </cfRule>
    <cfRule type="cellIs" dxfId="12255" priority="1594" stopIfTrue="1" operator="between">
      <formula>79.1</formula>
      <formula>100</formula>
    </cfRule>
    <cfRule type="cellIs" dxfId="12254" priority="1595" stopIfTrue="1" operator="between">
      <formula>34.1</formula>
      <formula>79</formula>
    </cfRule>
    <cfRule type="cellIs" dxfId="12253" priority="1596" stopIfTrue="1" operator="between">
      <formula>13.1</formula>
      <formula>34</formula>
    </cfRule>
    <cfRule type="cellIs" dxfId="12252" priority="1597" stopIfTrue="1" operator="between">
      <formula>5.1</formula>
      <formula>13</formula>
    </cfRule>
    <cfRule type="cellIs" dxfId="12251" priority="1598" stopIfTrue="1" operator="between">
      <formula>0</formula>
      <formula>5</formula>
    </cfRule>
    <cfRule type="containsBlanks" dxfId="12250" priority="1599" stopIfTrue="1">
      <formula>LEN(TRIM(E15))=0</formula>
    </cfRule>
  </conditionalFormatting>
  <conditionalFormatting sqref="E16:P16">
    <cfRule type="containsBlanks" dxfId="12249" priority="1586" stopIfTrue="1">
      <formula>LEN(TRIM(E16))=0</formula>
    </cfRule>
    <cfRule type="cellIs" dxfId="12248" priority="1587" stopIfTrue="1" operator="between">
      <formula>79.1</formula>
      <formula>100</formula>
    </cfRule>
    <cfRule type="cellIs" dxfId="12247" priority="1588" stopIfTrue="1" operator="between">
      <formula>34.1</formula>
      <formula>79</formula>
    </cfRule>
    <cfRule type="cellIs" dxfId="12246" priority="1589" stopIfTrue="1" operator="between">
      <formula>13.1</formula>
      <formula>34</formula>
    </cfRule>
    <cfRule type="cellIs" dxfId="12245" priority="1590" stopIfTrue="1" operator="between">
      <formula>5.1</formula>
      <formula>13</formula>
    </cfRule>
    <cfRule type="cellIs" dxfId="12244" priority="1591" stopIfTrue="1" operator="between">
      <formula>0</formula>
      <formula>5</formula>
    </cfRule>
    <cfRule type="containsBlanks" dxfId="12243" priority="1592" stopIfTrue="1">
      <formula>LEN(TRIM(E16))=0</formula>
    </cfRule>
  </conditionalFormatting>
  <conditionalFormatting sqref="Q91">
    <cfRule type="containsBlanks" dxfId="12242" priority="1369" stopIfTrue="1">
      <formula>LEN(TRIM(Q91))=0</formula>
    </cfRule>
    <cfRule type="cellIs" dxfId="12241" priority="1370" stopIfTrue="1" operator="between">
      <formula>80.1</formula>
      <formula>100</formula>
    </cfRule>
    <cfRule type="cellIs" dxfId="12240" priority="1371" stopIfTrue="1" operator="between">
      <formula>35.1</formula>
      <formula>80</formula>
    </cfRule>
    <cfRule type="cellIs" dxfId="12239" priority="1372" stopIfTrue="1" operator="between">
      <formula>14.1</formula>
      <formula>35</formula>
    </cfRule>
    <cfRule type="cellIs" dxfId="12238" priority="1373" stopIfTrue="1" operator="between">
      <formula>5.1</formula>
      <formula>14</formula>
    </cfRule>
    <cfRule type="cellIs" dxfId="12237" priority="1374" stopIfTrue="1" operator="between">
      <formula>0</formula>
      <formula>5</formula>
    </cfRule>
    <cfRule type="containsBlanks" dxfId="12236" priority="1375" stopIfTrue="1">
      <formula>LEN(TRIM(Q91))=0</formula>
    </cfRule>
  </conditionalFormatting>
  <conditionalFormatting sqref="Q99">
    <cfRule type="containsBlanks" dxfId="12235" priority="1320" stopIfTrue="1">
      <formula>LEN(TRIM(Q99))=0</formula>
    </cfRule>
    <cfRule type="cellIs" dxfId="12234" priority="1321" stopIfTrue="1" operator="between">
      <formula>80.1</formula>
      <formula>100</formula>
    </cfRule>
    <cfRule type="cellIs" dxfId="12233" priority="1322" stopIfTrue="1" operator="between">
      <formula>35.1</formula>
      <formula>80</formula>
    </cfRule>
    <cfRule type="cellIs" dxfId="12232" priority="1323" stopIfTrue="1" operator="between">
      <formula>14.1</formula>
      <formula>35</formula>
    </cfRule>
    <cfRule type="cellIs" dxfId="12231" priority="1324" stopIfTrue="1" operator="between">
      <formula>5.1</formula>
      <formula>14</formula>
    </cfRule>
    <cfRule type="cellIs" dxfId="12230" priority="1325" stopIfTrue="1" operator="between">
      <formula>0</formula>
      <formula>5</formula>
    </cfRule>
    <cfRule type="containsBlanks" dxfId="12229" priority="1326" stopIfTrue="1">
      <formula>LEN(TRIM(Q99))=0</formula>
    </cfRule>
  </conditionalFormatting>
  <conditionalFormatting sqref="Q55">
    <cfRule type="containsBlanks" dxfId="12228" priority="1502" stopIfTrue="1">
      <formula>LEN(TRIM(Q55))=0</formula>
    </cfRule>
    <cfRule type="cellIs" dxfId="12227" priority="1503" stopIfTrue="1" operator="between">
      <formula>80.1</formula>
      <formula>100</formula>
    </cfRule>
    <cfRule type="cellIs" dxfId="12226" priority="1504" stopIfTrue="1" operator="between">
      <formula>35.1</formula>
      <formula>80</formula>
    </cfRule>
    <cfRule type="cellIs" dxfId="12225" priority="1505" stopIfTrue="1" operator="between">
      <formula>14.1</formula>
      <formula>35</formula>
    </cfRule>
    <cfRule type="cellIs" dxfId="12224" priority="1506" stopIfTrue="1" operator="between">
      <formula>5.1</formula>
      <formula>14</formula>
    </cfRule>
    <cfRule type="cellIs" dxfId="12223" priority="1507" stopIfTrue="1" operator="between">
      <formula>0</formula>
      <formula>5</formula>
    </cfRule>
    <cfRule type="containsBlanks" dxfId="12222" priority="1508" stopIfTrue="1">
      <formula>LEN(TRIM(Q55))=0</formula>
    </cfRule>
  </conditionalFormatting>
  <conditionalFormatting sqref="E77:P77">
    <cfRule type="containsBlanks" dxfId="12221" priority="1453" stopIfTrue="1">
      <formula>LEN(TRIM(E77))=0</formula>
    </cfRule>
    <cfRule type="cellIs" dxfId="12220" priority="1454" stopIfTrue="1" operator="between">
      <formula>79.1</formula>
      <formula>100</formula>
    </cfRule>
    <cfRule type="cellIs" dxfId="12219" priority="1455" stopIfTrue="1" operator="between">
      <formula>34.1</formula>
      <formula>79</formula>
    </cfRule>
    <cfRule type="cellIs" dxfId="12218" priority="1456" stopIfTrue="1" operator="between">
      <formula>13.1</formula>
      <formula>34</formula>
    </cfRule>
    <cfRule type="cellIs" dxfId="12217" priority="1457" stopIfTrue="1" operator="between">
      <formula>5.1</formula>
      <formula>13</formula>
    </cfRule>
    <cfRule type="cellIs" dxfId="12216" priority="1458" stopIfTrue="1" operator="between">
      <formula>0</formula>
      <formula>5</formula>
    </cfRule>
    <cfRule type="containsBlanks" dxfId="12215" priority="1459" stopIfTrue="1">
      <formula>LEN(TRIM(E77))=0</formula>
    </cfRule>
  </conditionalFormatting>
  <conditionalFormatting sqref="E77:P77">
    <cfRule type="containsBlanks" dxfId="12214" priority="1446" stopIfTrue="1">
      <formula>LEN(TRIM(E77))=0</formula>
    </cfRule>
    <cfRule type="cellIs" dxfId="12213" priority="1447" stopIfTrue="1" operator="between">
      <formula>79.1</formula>
      <formula>100</formula>
    </cfRule>
    <cfRule type="cellIs" dxfId="12212" priority="1448" stopIfTrue="1" operator="between">
      <formula>34.1</formula>
      <formula>79</formula>
    </cfRule>
    <cfRule type="cellIs" dxfId="12211" priority="1449" stopIfTrue="1" operator="between">
      <formula>13.1</formula>
      <formula>34</formula>
    </cfRule>
    <cfRule type="cellIs" dxfId="12210" priority="1450" stopIfTrue="1" operator="between">
      <formula>5.1</formula>
      <formula>13</formula>
    </cfRule>
    <cfRule type="cellIs" dxfId="12209" priority="1451" stopIfTrue="1" operator="between">
      <formula>0</formula>
      <formula>5</formula>
    </cfRule>
    <cfRule type="containsBlanks" dxfId="12208" priority="1452" stopIfTrue="1">
      <formula>LEN(TRIM(E77))=0</formula>
    </cfRule>
  </conditionalFormatting>
  <conditionalFormatting sqref="E74:P74">
    <cfRule type="containsBlanks" dxfId="12207" priority="1390" stopIfTrue="1">
      <formula>LEN(TRIM(E74))=0</formula>
    </cfRule>
    <cfRule type="cellIs" dxfId="12206" priority="1391" stopIfTrue="1" operator="between">
      <formula>79.1</formula>
      <formula>100</formula>
    </cfRule>
    <cfRule type="cellIs" dxfId="12205" priority="1392" stopIfTrue="1" operator="between">
      <formula>34.1</formula>
      <formula>79</formula>
    </cfRule>
    <cfRule type="cellIs" dxfId="12204" priority="1393" stopIfTrue="1" operator="between">
      <formula>13.1</formula>
      <formula>34</formula>
    </cfRule>
    <cfRule type="cellIs" dxfId="12203" priority="1394" stopIfTrue="1" operator="between">
      <formula>5.1</formula>
      <formula>13</formula>
    </cfRule>
    <cfRule type="cellIs" dxfId="12202" priority="1395" stopIfTrue="1" operator="between">
      <formula>0</formula>
      <formula>5</formula>
    </cfRule>
    <cfRule type="containsBlanks" dxfId="12201" priority="1396" stopIfTrue="1">
      <formula>LEN(TRIM(E74))=0</formula>
    </cfRule>
  </conditionalFormatting>
  <conditionalFormatting sqref="Q90">
    <cfRule type="containsBlanks" dxfId="12200" priority="1383" stopIfTrue="1">
      <formula>LEN(TRIM(Q90))=0</formula>
    </cfRule>
    <cfRule type="cellIs" dxfId="12199" priority="1384" stopIfTrue="1" operator="between">
      <formula>80.1</formula>
      <formula>100</formula>
    </cfRule>
    <cfRule type="cellIs" dxfId="12198" priority="1385" stopIfTrue="1" operator="between">
      <formula>35.1</formula>
      <formula>80</formula>
    </cfRule>
    <cfRule type="cellIs" dxfId="12197" priority="1386" stopIfTrue="1" operator="between">
      <formula>14.1</formula>
      <formula>35</formula>
    </cfRule>
    <cfRule type="cellIs" dxfId="12196" priority="1387" stopIfTrue="1" operator="between">
      <formula>5.1</formula>
      <formula>14</formula>
    </cfRule>
    <cfRule type="cellIs" dxfId="12195" priority="1388" stopIfTrue="1" operator="between">
      <formula>0</formula>
      <formula>5</formula>
    </cfRule>
    <cfRule type="containsBlanks" dxfId="12194" priority="1389" stopIfTrue="1">
      <formula>LEN(TRIM(Q90))=0</formula>
    </cfRule>
  </conditionalFormatting>
  <conditionalFormatting sqref="E97:P97">
    <cfRule type="containsBlanks" dxfId="12193" priority="1348" stopIfTrue="1">
      <formula>LEN(TRIM(E97))=0</formula>
    </cfRule>
    <cfRule type="cellIs" dxfId="12192" priority="1349" stopIfTrue="1" operator="between">
      <formula>79.1</formula>
      <formula>100</formula>
    </cfRule>
    <cfRule type="cellIs" dxfId="12191" priority="1350" stopIfTrue="1" operator="between">
      <formula>34.1</formula>
      <formula>79</formula>
    </cfRule>
    <cfRule type="cellIs" dxfId="12190" priority="1351" stopIfTrue="1" operator="between">
      <formula>13.1</formula>
      <formula>34</formula>
    </cfRule>
    <cfRule type="cellIs" dxfId="12189" priority="1352" stopIfTrue="1" operator="between">
      <formula>5.1</formula>
      <formula>13</formula>
    </cfRule>
    <cfRule type="cellIs" dxfId="12188" priority="1353" stopIfTrue="1" operator="between">
      <formula>0</formula>
      <formula>5</formula>
    </cfRule>
    <cfRule type="containsBlanks" dxfId="12187" priority="1354" stopIfTrue="1">
      <formula>LEN(TRIM(E97))=0</formula>
    </cfRule>
  </conditionalFormatting>
  <conditionalFormatting sqref="E100:P100">
    <cfRule type="containsBlanks" dxfId="12186" priority="1285" stopIfTrue="1">
      <formula>LEN(TRIM(E100))=0</formula>
    </cfRule>
    <cfRule type="cellIs" dxfId="12185" priority="1286" stopIfTrue="1" operator="between">
      <formula>79.1</formula>
      <formula>100</formula>
    </cfRule>
    <cfRule type="cellIs" dxfId="12184" priority="1287" stopIfTrue="1" operator="between">
      <formula>34.1</formula>
      <formula>79</formula>
    </cfRule>
    <cfRule type="cellIs" dxfId="12183" priority="1288" stopIfTrue="1" operator="between">
      <formula>13.1</formula>
      <formula>34</formula>
    </cfRule>
    <cfRule type="cellIs" dxfId="12182" priority="1289" stopIfTrue="1" operator="between">
      <formula>5.1</formula>
      <formula>13</formula>
    </cfRule>
    <cfRule type="cellIs" dxfId="12181" priority="1290" stopIfTrue="1" operator="between">
      <formula>0</formula>
      <formula>5</formula>
    </cfRule>
    <cfRule type="containsBlanks" dxfId="12180" priority="1291" stopIfTrue="1">
      <formula>LEN(TRIM(E100))=0</formula>
    </cfRule>
  </conditionalFormatting>
  <conditionalFormatting sqref="E102:P102">
    <cfRule type="containsBlanks" dxfId="12179" priority="1278" stopIfTrue="1">
      <formula>LEN(TRIM(E102))=0</formula>
    </cfRule>
    <cfRule type="cellIs" dxfId="12178" priority="1279" stopIfTrue="1" operator="between">
      <formula>79.1</formula>
      <formula>100</formula>
    </cfRule>
    <cfRule type="cellIs" dxfId="12177" priority="1280" stopIfTrue="1" operator="between">
      <formula>34.1</formula>
      <formula>79</formula>
    </cfRule>
    <cfRule type="cellIs" dxfId="12176" priority="1281" stopIfTrue="1" operator="between">
      <formula>13.1</formula>
      <formula>34</formula>
    </cfRule>
    <cfRule type="cellIs" dxfId="12175" priority="1282" stopIfTrue="1" operator="between">
      <formula>5.1</formula>
      <formula>13</formula>
    </cfRule>
    <cfRule type="cellIs" dxfId="12174" priority="1283" stopIfTrue="1" operator="between">
      <formula>0</formula>
      <formula>5</formula>
    </cfRule>
    <cfRule type="containsBlanks" dxfId="12173" priority="1284" stopIfTrue="1">
      <formula>LEN(TRIM(E102))=0</formula>
    </cfRule>
  </conditionalFormatting>
  <conditionalFormatting sqref="E103:P103">
    <cfRule type="containsBlanks" dxfId="12172" priority="1271" stopIfTrue="1">
      <formula>LEN(TRIM(E103))=0</formula>
    </cfRule>
    <cfRule type="cellIs" dxfId="12171" priority="1272" stopIfTrue="1" operator="between">
      <formula>79.1</formula>
      <formula>100</formula>
    </cfRule>
    <cfRule type="cellIs" dxfId="12170" priority="1273" stopIfTrue="1" operator="between">
      <formula>34.1</formula>
      <formula>79</formula>
    </cfRule>
    <cfRule type="cellIs" dxfId="12169" priority="1274" stopIfTrue="1" operator="between">
      <formula>13.1</formula>
      <formula>34</formula>
    </cfRule>
    <cfRule type="cellIs" dxfId="12168" priority="1275" stopIfTrue="1" operator="between">
      <formula>5.1</formula>
      <formula>13</formula>
    </cfRule>
    <cfRule type="cellIs" dxfId="12167" priority="1276" stopIfTrue="1" operator="between">
      <formula>0</formula>
      <formula>5</formula>
    </cfRule>
    <cfRule type="containsBlanks" dxfId="12166" priority="1277" stopIfTrue="1">
      <formula>LEN(TRIM(E103))=0</formula>
    </cfRule>
  </conditionalFormatting>
  <conditionalFormatting sqref="E104:P105">
    <cfRule type="containsBlanks" dxfId="12165" priority="1264" stopIfTrue="1">
      <formula>LEN(TRIM(E104))=0</formula>
    </cfRule>
    <cfRule type="cellIs" dxfId="12164" priority="1265" stopIfTrue="1" operator="between">
      <formula>79.1</formula>
      <formula>100</formula>
    </cfRule>
    <cfRule type="cellIs" dxfId="12163" priority="1266" stopIfTrue="1" operator="between">
      <formula>34.1</formula>
      <formula>79</formula>
    </cfRule>
    <cfRule type="cellIs" dxfId="12162" priority="1267" stopIfTrue="1" operator="between">
      <formula>13.1</formula>
      <formula>34</formula>
    </cfRule>
    <cfRule type="cellIs" dxfId="12161" priority="1268" stopIfTrue="1" operator="between">
      <formula>5.1</formula>
      <formula>13</formula>
    </cfRule>
    <cfRule type="cellIs" dxfId="12160" priority="1269" stopIfTrue="1" operator="between">
      <formula>0</formula>
      <formula>5</formula>
    </cfRule>
    <cfRule type="containsBlanks" dxfId="12159" priority="1270" stopIfTrue="1">
      <formula>LEN(TRIM(E104))=0</formula>
    </cfRule>
  </conditionalFormatting>
  <conditionalFormatting sqref="Q112">
    <cfRule type="containsBlanks" dxfId="12158" priority="1208" stopIfTrue="1">
      <formula>LEN(TRIM(Q112))=0</formula>
    </cfRule>
    <cfRule type="cellIs" dxfId="12157" priority="1209" stopIfTrue="1" operator="between">
      <formula>80.1</formula>
      <formula>100</formula>
    </cfRule>
    <cfRule type="cellIs" dxfId="12156" priority="1210" stopIfTrue="1" operator="between">
      <formula>35.1</formula>
      <formula>80</formula>
    </cfRule>
    <cfRule type="cellIs" dxfId="12155" priority="1211" stopIfTrue="1" operator="between">
      <formula>14.1</formula>
      <formula>35</formula>
    </cfRule>
    <cfRule type="cellIs" dxfId="12154" priority="1212" stopIfTrue="1" operator="between">
      <formula>5.1</formula>
      <formula>14</formula>
    </cfRule>
    <cfRule type="cellIs" dxfId="12153" priority="1213" stopIfTrue="1" operator="between">
      <formula>0</formula>
      <formula>5</formula>
    </cfRule>
    <cfRule type="containsBlanks" dxfId="12152" priority="1214" stopIfTrue="1">
      <formula>LEN(TRIM(Q112))=0</formula>
    </cfRule>
  </conditionalFormatting>
  <conditionalFormatting sqref="Q111">
    <cfRule type="containsBlanks" dxfId="12151" priority="1201" stopIfTrue="1">
      <formula>LEN(TRIM(Q111))=0</formula>
    </cfRule>
    <cfRule type="cellIs" dxfId="12150" priority="1202" stopIfTrue="1" operator="between">
      <formula>80.1</formula>
      <formula>100</formula>
    </cfRule>
    <cfRule type="cellIs" dxfId="12149" priority="1203" stopIfTrue="1" operator="between">
      <formula>35.1</formula>
      <formula>80</formula>
    </cfRule>
    <cfRule type="cellIs" dxfId="12148" priority="1204" stopIfTrue="1" operator="between">
      <formula>14.1</formula>
      <formula>35</formula>
    </cfRule>
    <cfRule type="cellIs" dxfId="12147" priority="1205" stopIfTrue="1" operator="between">
      <formula>5.1</formula>
      <formula>14</formula>
    </cfRule>
    <cfRule type="cellIs" dxfId="12146" priority="1206" stopIfTrue="1" operator="between">
      <formula>0</formula>
      <formula>5</formula>
    </cfRule>
    <cfRule type="containsBlanks" dxfId="12145" priority="1207" stopIfTrue="1">
      <formula>LEN(TRIM(Q111))=0</formula>
    </cfRule>
  </conditionalFormatting>
  <conditionalFormatting sqref="Q28">
    <cfRule type="containsBlanks" dxfId="12144" priority="1152" stopIfTrue="1">
      <formula>LEN(TRIM(Q28))=0</formula>
    </cfRule>
    <cfRule type="cellIs" dxfId="12143" priority="1153" stopIfTrue="1" operator="between">
      <formula>80.1</formula>
      <formula>100</formula>
    </cfRule>
    <cfRule type="cellIs" dxfId="12142" priority="1154" stopIfTrue="1" operator="between">
      <formula>35.1</formula>
      <formula>80</formula>
    </cfRule>
    <cfRule type="cellIs" dxfId="12141" priority="1155" stopIfTrue="1" operator="between">
      <formula>14.1</formula>
      <formula>35</formula>
    </cfRule>
    <cfRule type="cellIs" dxfId="12140" priority="1156" stopIfTrue="1" operator="between">
      <formula>5.1</formula>
      <formula>14</formula>
    </cfRule>
    <cfRule type="cellIs" dxfId="12139" priority="1157" stopIfTrue="1" operator="between">
      <formula>0</formula>
      <formula>5</formula>
    </cfRule>
    <cfRule type="containsBlanks" dxfId="12138" priority="1158" stopIfTrue="1">
      <formula>LEN(TRIM(Q28))=0</formula>
    </cfRule>
  </conditionalFormatting>
  <conditionalFormatting sqref="F30:Q30">
    <cfRule type="containsBlanks" dxfId="12137" priority="1138" stopIfTrue="1">
      <formula>LEN(TRIM(F30))=0</formula>
    </cfRule>
    <cfRule type="cellIs" dxfId="12136" priority="1139" stopIfTrue="1" operator="between">
      <formula>80.1</formula>
      <formula>100</formula>
    </cfRule>
    <cfRule type="cellIs" dxfId="12135" priority="1140" stopIfTrue="1" operator="between">
      <formula>35.1</formula>
      <formula>80</formula>
    </cfRule>
    <cfRule type="cellIs" dxfId="12134" priority="1141" stopIfTrue="1" operator="between">
      <formula>14.1</formula>
      <formula>35</formula>
    </cfRule>
    <cfRule type="cellIs" dxfId="12133" priority="1142" stopIfTrue="1" operator="between">
      <formula>5.1</formula>
      <formula>14</formula>
    </cfRule>
    <cfRule type="cellIs" dxfId="12132" priority="1143" stopIfTrue="1" operator="between">
      <formula>0</formula>
      <formula>5</formula>
    </cfRule>
    <cfRule type="containsBlanks" dxfId="12131" priority="1144" stopIfTrue="1">
      <formula>LEN(TRIM(F30))=0</formula>
    </cfRule>
  </conditionalFormatting>
  <conditionalFormatting sqref="E30">
    <cfRule type="containsBlanks" dxfId="12130" priority="1131" stopIfTrue="1">
      <formula>LEN(TRIM(E30))=0</formula>
    </cfRule>
    <cfRule type="cellIs" dxfId="12129" priority="1132" stopIfTrue="1" operator="between">
      <formula>80.1</formula>
      <formula>100</formula>
    </cfRule>
    <cfRule type="cellIs" dxfId="12128" priority="1133" stopIfTrue="1" operator="between">
      <formula>35.1</formula>
      <formula>80</formula>
    </cfRule>
    <cfRule type="cellIs" dxfId="12127" priority="1134" stopIfTrue="1" operator="between">
      <formula>14.1</formula>
      <formula>35</formula>
    </cfRule>
    <cfRule type="cellIs" dxfId="12126" priority="1135" stopIfTrue="1" operator="between">
      <formula>5.1</formula>
      <formula>14</formula>
    </cfRule>
    <cfRule type="cellIs" dxfId="12125" priority="1136" stopIfTrue="1" operator="between">
      <formula>0</formula>
      <formula>5</formula>
    </cfRule>
    <cfRule type="containsBlanks" dxfId="12124" priority="1137" stopIfTrue="1">
      <formula>LEN(TRIM(E30))=0</formula>
    </cfRule>
  </conditionalFormatting>
  <conditionalFormatting sqref="F24:Q24">
    <cfRule type="containsBlanks" dxfId="12123" priority="1110" stopIfTrue="1">
      <formula>LEN(TRIM(F24))=0</formula>
    </cfRule>
    <cfRule type="cellIs" dxfId="12122" priority="1111" stopIfTrue="1" operator="between">
      <formula>80.1</formula>
      <formula>100</formula>
    </cfRule>
    <cfRule type="cellIs" dxfId="12121" priority="1112" stopIfTrue="1" operator="between">
      <formula>35.1</formula>
      <formula>80</formula>
    </cfRule>
    <cfRule type="cellIs" dxfId="12120" priority="1113" stopIfTrue="1" operator="between">
      <formula>14.1</formula>
      <formula>35</formula>
    </cfRule>
    <cfRule type="cellIs" dxfId="12119" priority="1114" stopIfTrue="1" operator="between">
      <formula>5.1</formula>
      <formula>14</formula>
    </cfRule>
    <cfRule type="cellIs" dxfId="12118" priority="1115" stopIfTrue="1" operator="between">
      <formula>0</formula>
      <formula>5</formula>
    </cfRule>
    <cfRule type="containsBlanks" dxfId="12117" priority="1116" stopIfTrue="1">
      <formula>LEN(TRIM(F24))=0</formula>
    </cfRule>
  </conditionalFormatting>
  <conditionalFormatting sqref="E24">
    <cfRule type="containsBlanks" dxfId="12116" priority="1103" stopIfTrue="1">
      <formula>LEN(TRIM(E24))=0</formula>
    </cfRule>
    <cfRule type="cellIs" dxfId="12115" priority="1104" stopIfTrue="1" operator="between">
      <formula>80.1</formula>
      <formula>100</formula>
    </cfRule>
    <cfRule type="cellIs" dxfId="12114" priority="1105" stopIfTrue="1" operator="between">
      <formula>35.1</formula>
      <formula>80</formula>
    </cfRule>
    <cfRule type="cellIs" dxfId="12113" priority="1106" stopIfTrue="1" operator="between">
      <formula>14.1</formula>
      <formula>35</formula>
    </cfRule>
    <cfRule type="cellIs" dxfId="12112" priority="1107" stopIfTrue="1" operator="between">
      <formula>5.1</formula>
      <formula>14</formula>
    </cfRule>
    <cfRule type="cellIs" dxfId="12111" priority="1108" stopIfTrue="1" operator="between">
      <formula>0</formula>
      <formula>5</formula>
    </cfRule>
    <cfRule type="containsBlanks" dxfId="12110" priority="1109" stopIfTrue="1">
      <formula>LEN(TRIM(E24))=0</formula>
    </cfRule>
  </conditionalFormatting>
  <conditionalFormatting sqref="F25:Q25">
    <cfRule type="containsBlanks" dxfId="12109" priority="1096" stopIfTrue="1">
      <formula>LEN(TRIM(F25))=0</formula>
    </cfRule>
    <cfRule type="cellIs" dxfId="12108" priority="1097" stopIfTrue="1" operator="between">
      <formula>80.1</formula>
      <formula>100</formula>
    </cfRule>
    <cfRule type="cellIs" dxfId="12107" priority="1098" stopIfTrue="1" operator="between">
      <formula>35.1</formula>
      <formula>80</formula>
    </cfRule>
    <cfRule type="cellIs" dxfId="12106" priority="1099" stopIfTrue="1" operator="between">
      <formula>14.1</formula>
      <formula>35</formula>
    </cfRule>
    <cfRule type="cellIs" dxfId="12105" priority="1100" stopIfTrue="1" operator="between">
      <formula>5.1</formula>
      <formula>14</formula>
    </cfRule>
    <cfRule type="cellIs" dxfId="12104" priority="1101" stopIfTrue="1" operator="between">
      <formula>0</formula>
      <formula>5</formula>
    </cfRule>
    <cfRule type="containsBlanks" dxfId="12103" priority="1102" stopIfTrue="1">
      <formula>LEN(TRIM(F25))=0</formula>
    </cfRule>
  </conditionalFormatting>
  <conditionalFormatting sqref="E25">
    <cfRule type="containsBlanks" dxfId="12102" priority="1089" stopIfTrue="1">
      <formula>LEN(TRIM(E25))=0</formula>
    </cfRule>
    <cfRule type="cellIs" dxfId="12101" priority="1090" stopIfTrue="1" operator="between">
      <formula>80.1</formula>
      <formula>100</formula>
    </cfRule>
    <cfRule type="cellIs" dxfId="12100" priority="1091" stopIfTrue="1" operator="between">
      <formula>35.1</formula>
      <formula>80</formula>
    </cfRule>
    <cfRule type="cellIs" dxfId="12099" priority="1092" stopIfTrue="1" operator="between">
      <formula>14.1</formula>
      <formula>35</formula>
    </cfRule>
    <cfRule type="cellIs" dxfId="12098" priority="1093" stopIfTrue="1" operator="between">
      <formula>5.1</formula>
      <formula>14</formula>
    </cfRule>
    <cfRule type="cellIs" dxfId="12097" priority="1094" stopIfTrue="1" operator="between">
      <formula>0</formula>
      <formula>5</formula>
    </cfRule>
    <cfRule type="containsBlanks" dxfId="12096" priority="1095" stopIfTrue="1">
      <formula>LEN(TRIM(E25))=0</formula>
    </cfRule>
  </conditionalFormatting>
  <conditionalFormatting sqref="Q26">
    <cfRule type="containsBlanks" dxfId="12095" priority="1082" stopIfTrue="1">
      <formula>LEN(TRIM(Q26))=0</formula>
    </cfRule>
    <cfRule type="cellIs" dxfId="12094" priority="1083" stopIfTrue="1" operator="between">
      <formula>80.1</formula>
      <formula>100</formula>
    </cfRule>
    <cfRule type="cellIs" dxfId="12093" priority="1084" stopIfTrue="1" operator="between">
      <formula>35.1</formula>
      <formula>80</formula>
    </cfRule>
    <cfRule type="cellIs" dxfId="12092" priority="1085" stopIfTrue="1" operator="between">
      <formula>14.1</formula>
      <formula>35</formula>
    </cfRule>
    <cfRule type="cellIs" dxfId="12091" priority="1086" stopIfTrue="1" operator="between">
      <formula>5.1</formula>
      <formula>14</formula>
    </cfRule>
    <cfRule type="cellIs" dxfId="12090" priority="1087" stopIfTrue="1" operator="between">
      <formula>0</formula>
      <formula>5</formula>
    </cfRule>
    <cfRule type="containsBlanks" dxfId="12089" priority="1088" stopIfTrue="1">
      <formula>LEN(TRIM(Q26))=0</formula>
    </cfRule>
  </conditionalFormatting>
  <conditionalFormatting sqref="Q64">
    <cfRule type="containsBlanks" dxfId="12088" priority="1068" stopIfTrue="1">
      <formula>LEN(TRIM(Q64))=0</formula>
    </cfRule>
    <cfRule type="cellIs" dxfId="12087" priority="1069" stopIfTrue="1" operator="between">
      <formula>80.1</formula>
      <formula>100</formula>
    </cfRule>
    <cfRule type="cellIs" dxfId="12086" priority="1070" stopIfTrue="1" operator="between">
      <formula>35.1</formula>
      <formula>80</formula>
    </cfRule>
    <cfRule type="cellIs" dxfId="12085" priority="1071" stopIfTrue="1" operator="between">
      <formula>14.1</formula>
      <formula>35</formula>
    </cfRule>
    <cfRule type="cellIs" dxfId="12084" priority="1072" stopIfTrue="1" operator="between">
      <formula>5.1</formula>
      <formula>14</formula>
    </cfRule>
    <cfRule type="cellIs" dxfId="12083" priority="1073" stopIfTrue="1" operator="between">
      <formula>0</formula>
      <formula>5</formula>
    </cfRule>
    <cfRule type="containsBlanks" dxfId="12082" priority="1074" stopIfTrue="1">
      <formula>LEN(TRIM(Q64))=0</formula>
    </cfRule>
  </conditionalFormatting>
  <conditionalFormatting sqref="Q67">
    <cfRule type="containsBlanks" dxfId="12081" priority="935" stopIfTrue="1">
      <formula>LEN(TRIM(Q67))=0</formula>
    </cfRule>
    <cfRule type="cellIs" dxfId="12080" priority="936" stopIfTrue="1" operator="between">
      <formula>80.1</formula>
      <formula>100</formula>
    </cfRule>
    <cfRule type="cellIs" dxfId="12079" priority="937" stopIfTrue="1" operator="between">
      <formula>35.1</formula>
      <formula>80</formula>
    </cfRule>
    <cfRule type="cellIs" dxfId="12078" priority="938" stopIfTrue="1" operator="between">
      <formula>14.1</formula>
      <formula>35</formula>
    </cfRule>
    <cfRule type="cellIs" dxfId="12077" priority="939" stopIfTrue="1" operator="between">
      <formula>5.1</formula>
      <formula>14</formula>
    </cfRule>
    <cfRule type="cellIs" dxfId="12076" priority="940" stopIfTrue="1" operator="between">
      <formula>0</formula>
      <formula>5</formula>
    </cfRule>
    <cfRule type="containsBlanks" dxfId="12075" priority="941" stopIfTrue="1">
      <formula>LEN(TRIM(Q67))=0</formula>
    </cfRule>
  </conditionalFormatting>
  <conditionalFormatting sqref="Q73">
    <cfRule type="containsBlanks" dxfId="12074" priority="914" stopIfTrue="1">
      <formula>LEN(TRIM(Q73))=0</formula>
    </cfRule>
    <cfRule type="cellIs" dxfId="12073" priority="915" stopIfTrue="1" operator="between">
      <formula>80.1</formula>
      <formula>100</formula>
    </cfRule>
    <cfRule type="cellIs" dxfId="12072" priority="916" stopIfTrue="1" operator="between">
      <formula>35.1</formula>
      <formula>80</formula>
    </cfRule>
    <cfRule type="cellIs" dxfId="12071" priority="917" stopIfTrue="1" operator="between">
      <formula>14.1</formula>
      <formula>35</formula>
    </cfRule>
    <cfRule type="cellIs" dxfId="12070" priority="918" stopIfTrue="1" operator="between">
      <formula>5.1</formula>
      <formula>14</formula>
    </cfRule>
    <cfRule type="cellIs" dxfId="12069" priority="919" stopIfTrue="1" operator="between">
      <formula>0</formula>
      <formula>5</formula>
    </cfRule>
    <cfRule type="containsBlanks" dxfId="12068" priority="920" stopIfTrue="1">
      <formula>LEN(TRIM(Q73))=0</formula>
    </cfRule>
  </conditionalFormatting>
  <conditionalFormatting sqref="E73:P73">
    <cfRule type="containsBlanks" dxfId="12067" priority="907" stopIfTrue="1">
      <formula>LEN(TRIM(E73))=0</formula>
    </cfRule>
    <cfRule type="cellIs" dxfId="12066" priority="908" stopIfTrue="1" operator="between">
      <formula>79.1</formula>
      <formula>100</formula>
    </cfRule>
    <cfRule type="cellIs" dxfId="12065" priority="909" stopIfTrue="1" operator="between">
      <formula>34.1</formula>
      <formula>79</formula>
    </cfRule>
    <cfRule type="cellIs" dxfId="12064" priority="910" stopIfTrue="1" operator="between">
      <formula>13.1</formula>
      <formula>34</formula>
    </cfRule>
    <cfRule type="cellIs" dxfId="12063" priority="911" stopIfTrue="1" operator="between">
      <formula>5.1</formula>
      <formula>13</formula>
    </cfRule>
    <cfRule type="cellIs" dxfId="12062" priority="912" stopIfTrue="1" operator="between">
      <formula>0</formula>
      <formula>5</formula>
    </cfRule>
    <cfRule type="containsBlanks" dxfId="12061" priority="913" stopIfTrue="1">
      <formula>LEN(TRIM(E73))=0</formula>
    </cfRule>
  </conditionalFormatting>
  <conditionalFormatting sqref="Q113">
    <cfRule type="containsBlanks" dxfId="12060" priority="900" stopIfTrue="1">
      <formula>LEN(TRIM(Q113))=0</formula>
    </cfRule>
    <cfRule type="cellIs" dxfId="12059" priority="901" stopIfTrue="1" operator="between">
      <formula>80.1</formula>
      <formula>100</formula>
    </cfRule>
    <cfRule type="cellIs" dxfId="12058" priority="902" stopIfTrue="1" operator="between">
      <formula>35.1</formula>
      <formula>80</formula>
    </cfRule>
    <cfRule type="cellIs" dxfId="12057" priority="903" stopIfTrue="1" operator="between">
      <formula>14.1</formula>
      <formula>35</formula>
    </cfRule>
    <cfRule type="cellIs" dxfId="12056" priority="904" stopIfTrue="1" operator="between">
      <formula>5.1</formula>
      <formula>14</formula>
    </cfRule>
    <cfRule type="cellIs" dxfId="12055" priority="905" stopIfTrue="1" operator="between">
      <formula>0</formula>
      <formula>5</formula>
    </cfRule>
    <cfRule type="containsBlanks" dxfId="12054" priority="906" stopIfTrue="1">
      <formula>LEN(TRIM(Q113))=0</formula>
    </cfRule>
  </conditionalFormatting>
  <conditionalFormatting sqref="R97">
    <cfRule type="containsBlanks" dxfId="12053" priority="857" stopIfTrue="1">
      <formula>LEN(TRIM(R97))=0</formula>
    </cfRule>
    <cfRule type="cellIs" dxfId="12052" priority="858" stopIfTrue="1" operator="between">
      <formula>80.1</formula>
      <formula>100</formula>
    </cfRule>
    <cfRule type="cellIs" dxfId="12051" priority="859" stopIfTrue="1" operator="between">
      <formula>35.1</formula>
      <formula>80</formula>
    </cfRule>
    <cfRule type="cellIs" dxfId="12050" priority="860" stopIfTrue="1" operator="between">
      <formula>14.1</formula>
      <formula>35</formula>
    </cfRule>
    <cfRule type="cellIs" dxfId="12049" priority="861" stopIfTrue="1" operator="between">
      <formula>5.1</formula>
      <formula>14</formula>
    </cfRule>
    <cfRule type="cellIs" dxfId="12048" priority="862" stopIfTrue="1" operator="between">
      <formula>0</formula>
      <formula>5</formula>
    </cfRule>
    <cfRule type="containsBlanks" dxfId="12047" priority="863" stopIfTrue="1">
      <formula>LEN(TRIM(R97))=0</formula>
    </cfRule>
  </conditionalFormatting>
  <conditionalFormatting sqref="Q92">
    <cfRule type="containsBlanks" dxfId="12046" priority="850" stopIfTrue="1">
      <formula>LEN(TRIM(Q92))=0</formula>
    </cfRule>
    <cfRule type="cellIs" dxfId="12045" priority="851" stopIfTrue="1" operator="between">
      <formula>80.1</formula>
      <formula>100</formula>
    </cfRule>
    <cfRule type="cellIs" dxfId="12044" priority="852" stopIfTrue="1" operator="between">
      <formula>35.1</formula>
      <formula>80</formula>
    </cfRule>
    <cfRule type="cellIs" dxfId="12043" priority="853" stopIfTrue="1" operator="between">
      <formula>14.1</formula>
      <formula>35</formula>
    </cfRule>
    <cfRule type="cellIs" dxfId="12042" priority="854" stopIfTrue="1" operator="between">
      <formula>5.1</formula>
      <formula>14</formula>
    </cfRule>
    <cfRule type="cellIs" dxfId="12041" priority="855" stopIfTrue="1" operator="between">
      <formula>0</formula>
      <formula>5</formula>
    </cfRule>
    <cfRule type="containsBlanks" dxfId="12040" priority="856" stopIfTrue="1">
      <formula>LEN(TRIM(Q92))=0</formula>
    </cfRule>
  </conditionalFormatting>
  <conditionalFormatting sqref="Q263:Q271">
    <cfRule type="containsBlanks" dxfId="12039" priority="781" stopIfTrue="1">
      <formula>LEN(TRIM(Q263))=0</formula>
    </cfRule>
    <cfRule type="cellIs" dxfId="12038" priority="782" stopIfTrue="1" operator="between">
      <formula>80.1</formula>
      <formula>100</formula>
    </cfRule>
    <cfRule type="cellIs" dxfId="12037" priority="783" stopIfTrue="1" operator="between">
      <formula>35.1</formula>
      <formula>80</formula>
    </cfRule>
    <cfRule type="cellIs" dxfId="12036" priority="784" stopIfTrue="1" operator="between">
      <formula>14.1</formula>
      <formula>35</formula>
    </cfRule>
    <cfRule type="cellIs" dxfId="12035" priority="785" stopIfTrue="1" operator="between">
      <formula>5.1</formula>
      <formula>14</formula>
    </cfRule>
    <cfRule type="cellIs" dxfId="12034" priority="786" stopIfTrue="1" operator="between">
      <formula>0</formula>
      <formula>5</formula>
    </cfRule>
    <cfRule type="containsBlanks" dxfId="12033" priority="787" stopIfTrue="1">
      <formula>LEN(TRIM(Q263))=0</formula>
    </cfRule>
  </conditionalFormatting>
  <conditionalFormatting sqref="Q269">
    <cfRule type="containsBlanks" dxfId="12032" priority="774" stopIfTrue="1">
      <formula>LEN(TRIM(Q269))=0</formula>
    </cfRule>
    <cfRule type="cellIs" dxfId="12031" priority="775" stopIfTrue="1" operator="between">
      <formula>80.1</formula>
      <formula>100</formula>
    </cfRule>
    <cfRule type="cellIs" dxfId="12030" priority="776" stopIfTrue="1" operator="between">
      <formula>35.1</formula>
      <formula>80</formula>
    </cfRule>
    <cfRule type="cellIs" dxfId="12029" priority="777" stopIfTrue="1" operator="between">
      <formula>14.1</formula>
      <formula>35</formula>
    </cfRule>
    <cfRule type="cellIs" dxfId="12028" priority="778" stopIfTrue="1" operator="between">
      <formula>5.1</formula>
      <formula>14</formula>
    </cfRule>
    <cfRule type="cellIs" dxfId="12027" priority="779" stopIfTrue="1" operator="between">
      <formula>0</formula>
      <formula>5</formula>
    </cfRule>
    <cfRule type="containsBlanks" dxfId="12026" priority="780" stopIfTrue="1">
      <formula>LEN(TRIM(Q269))=0</formula>
    </cfRule>
  </conditionalFormatting>
  <conditionalFormatting sqref="Q268">
    <cfRule type="containsBlanks" dxfId="12025" priority="767" stopIfTrue="1">
      <formula>LEN(TRIM(Q268))=0</formula>
    </cfRule>
    <cfRule type="cellIs" dxfId="12024" priority="768" stopIfTrue="1" operator="between">
      <formula>80.1</formula>
      <formula>100</formula>
    </cfRule>
    <cfRule type="cellIs" dxfId="12023" priority="769" stopIfTrue="1" operator="between">
      <formula>35.1</formula>
      <formula>80</formula>
    </cfRule>
    <cfRule type="cellIs" dxfId="12022" priority="770" stopIfTrue="1" operator="between">
      <formula>14.1</formula>
      <formula>35</formula>
    </cfRule>
    <cfRule type="cellIs" dxfId="12021" priority="771" stopIfTrue="1" operator="between">
      <formula>5.1</formula>
      <formula>14</formula>
    </cfRule>
    <cfRule type="cellIs" dxfId="12020" priority="772" stopIfTrue="1" operator="between">
      <formula>0</formula>
      <formula>5</formula>
    </cfRule>
    <cfRule type="containsBlanks" dxfId="12019" priority="773" stopIfTrue="1">
      <formula>LEN(TRIM(Q268))=0</formula>
    </cfRule>
  </conditionalFormatting>
  <conditionalFormatting sqref="Q270">
    <cfRule type="containsBlanks" dxfId="12018" priority="760" stopIfTrue="1">
      <formula>LEN(TRIM(Q270))=0</formula>
    </cfRule>
    <cfRule type="cellIs" dxfId="12017" priority="761" stopIfTrue="1" operator="between">
      <formula>80.1</formula>
      <formula>100</formula>
    </cfRule>
    <cfRule type="cellIs" dxfId="12016" priority="762" stopIfTrue="1" operator="between">
      <formula>35.1</formula>
      <formula>80</formula>
    </cfRule>
    <cfRule type="cellIs" dxfId="12015" priority="763" stopIfTrue="1" operator="between">
      <formula>14.1</formula>
      <formula>35</formula>
    </cfRule>
    <cfRule type="cellIs" dxfId="12014" priority="764" stopIfTrue="1" operator="between">
      <formula>5.1</formula>
      <formula>14</formula>
    </cfRule>
    <cfRule type="cellIs" dxfId="12013" priority="765" stopIfTrue="1" operator="between">
      <formula>0</formula>
      <formula>5</formula>
    </cfRule>
    <cfRule type="containsBlanks" dxfId="12012" priority="766" stopIfTrue="1">
      <formula>LEN(TRIM(Q270))=0</formula>
    </cfRule>
  </conditionalFormatting>
  <conditionalFormatting sqref="R420:R424">
    <cfRule type="cellIs" dxfId="12011" priority="752" stopIfTrue="1" operator="equal">
      <formula>"NO"</formula>
    </cfRule>
  </conditionalFormatting>
  <conditionalFormatting sqref="R420:R424">
    <cfRule type="cellIs" dxfId="12010" priority="751" stopIfTrue="1" operator="equal">
      <formula>"NO"</formula>
    </cfRule>
  </conditionalFormatting>
  <conditionalFormatting sqref="R420:R424">
    <cfRule type="cellIs" dxfId="12009" priority="750" stopIfTrue="1" operator="equal">
      <formula>"NO"</formula>
    </cfRule>
  </conditionalFormatting>
  <conditionalFormatting sqref="S420:S424">
    <cfRule type="cellIs" dxfId="12008" priority="749" stopIfTrue="1" operator="equal">
      <formula>"INVIABLE SANITARIAMENTE"</formula>
    </cfRule>
  </conditionalFormatting>
  <conditionalFormatting sqref="S420:S424">
    <cfRule type="containsText" dxfId="12007" priority="744" stopIfTrue="1" operator="containsText" text="INVIABLE SANITARIAMENTE">
      <formula>NOT(ISERROR(SEARCH("INVIABLE SANITARIAMENTE",S420)))</formula>
    </cfRule>
    <cfRule type="containsText" dxfId="12006" priority="745" stopIfTrue="1" operator="containsText" text="ALTO">
      <formula>NOT(ISERROR(SEARCH("ALTO",S420)))</formula>
    </cfRule>
    <cfRule type="containsText" dxfId="12005" priority="746" stopIfTrue="1" operator="containsText" text="MEDIO">
      <formula>NOT(ISERROR(SEARCH("MEDIO",S420)))</formula>
    </cfRule>
    <cfRule type="containsText" dxfId="12004" priority="747" stopIfTrue="1" operator="containsText" text="BAJO">
      <formula>NOT(ISERROR(SEARCH("BAJO",S420)))</formula>
    </cfRule>
    <cfRule type="containsText" dxfId="12003" priority="748" stopIfTrue="1" operator="containsText" text="SIN RIESGO">
      <formula>NOT(ISERROR(SEARCH("SIN RIESGO",S420)))</formula>
    </cfRule>
  </conditionalFormatting>
  <conditionalFormatting sqref="S420:S424">
    <cfRule type="containsText" dxfId="12002" priority="743" stopIfTrue="1" operator="containsText" text="SIN RIESGO">
      <formula>NOT(ISERROR(SEARCH("SIN RIESGO",S420)))</formula>
    </cfRule>
  </conditionalFormatting>
  <conditionalFormatting sqref="Q420:Q424">
    <cfRule type="containsBlanks" dxfId="12001" priority="736" stopIfTrue="1">
      <formula>LEN(TRIM(Q420))=0</formula>
    </cfRule>
    <cfRule type="cellIs" dxfId="12000" priority="737" stopIfTrue="1" operator="between">
      <formula>80.1</formula>
      <formula>100</formula>
    </cfRule>
    <cfRule type="cellIs" dxfId="11999" priority="738" stopIfTrue="1" operator="between">
      <formula>35.1</formula>
      <formula>80</formula>
    </cfRule>
    <cfRule type="cellIs" dxfId="11998" priority="739" stopIfTrue="1" operator="between">
      <formula>14.1</formula>
      <formula>35</formula>
    </cfRule>
    <cfRule type="cellIs" dxfId="11997" priority="740" stopIfTrue="1" operator="between">
      <formula>5.1</formula>
      <formula>14</formula>
    </cfRule>
    <cfRule type="cellIs" dxfId="11996" priority="741" stopIfTrue="1" operator="between">
      <formula>0</formula>
      <formula>5</formula>
    </cfRule>
    <cfRule type="containsBlanks" dxfId="11995" priority="742" stopIfTrue="1">
      <formula>LEN(TRIM(Q420))=0</formula>
    </cfRule>
  </conditionalFormatting>
  <conditionalFormatting sqref="R104:R106">
    <cfRule type="cellIs" dxfId="11994" priority="642" stopIfTrue="1" operator="equal">
      <formula>"NO"</formula>
    </cfRule>
  </conditionalFormatting>
  <conditionalFormatting sqref="R107">
    <cfRule type="cellIs" dxfId="11993" priority="626" stopIfTrue="1" operator="equal">
      <formula>"NO"</formula>
    </cfRule>
  </conditionalFormatting>
  <conditionalFormatting sqref="R108:R109">
    <cfRule type="cellIs" dxfId="11992" priority="618" stopIfTrue="1" operator="equal">
      <formula>"NO"</formula>
    </cfRule>
  </conditionalFormatting>
  <conditionalFormatting sqref="R111:R112">
    <cfRule type="cellIs" dxfId="11991" priority="602" stopIfTrue="1" operator="equal">
      <formula>"NO"</formula>
    </cfRule>
  </conditionalFormatting>
  <conditionalFormatting sqref="R113">
    <cfRule type="cellIs" dxfId="11990" priority="594" stopIfTrue="1" operator="equal">
      <formula>"NO"</formula>
    </cfRule>
  </conditionalFormatting>
  <conditionalFormatting sqref="R43:R56">
    <cfRule type="cellIs" dxfId="11989" priority="587" stopIfTrue="1" operator="equal">
      <formula>"NO"</formula>
    </cfRule>
  </conditionalFormatting>
  <conditionalFormatting sqref="R11">
    <cfRule type="cellIs" dxfId="11988" priority="445" stopIfTrue="1" operator="equal">
      <formula>"NO"</formula>
    </cfRule>
  </conditionalFormatting>
  <conditionalFormatting sqref="Q42:Q77">
    <cfRule type="containsBlanks" dxfId="11987" priority="437" stopIfTrue="1">
      <formula>LEN(TRIM(Q42))=0</formula>
    </cfRule>
    <cfRule type="cellIs" dxfId="11986" priority="438" stopIfTrue="1" operator="between">
      <formula>80.1</formula>
      <formula>100</formula>
    </cfRule>
    <cfRule type="cellIs" dxfId="11985" priority="439" stopIfTrue="1" operator="between">
      <formula>35.1</formula>
      <formula>80</formula>
    </cfRule>
    <cfRule type="cellIs" dxfId="11984" priority="440" stopIfTrue="1" operator="between">
      <formula>14.1</formula>
      <formula>35</formula>
    </cfRule>
    <cfRule type="cellIs" dxfId="11983" priority="441" stopIfTrue="1" operator="between">
      <formula>5.1</formula>
      <formula>14</formula>
    </cfRule>
    <cfRule type="cellIs" dxfId="11982" priority="442" stopIfTrue="1" operator="between">
      <formula>0</formula>
      <formula>5</formula>
    </cfRule>
    <cfRule type="containsBlanks" dxfId="11981" priority="443" stopIfTrue="1">
      <formula>LEN(TRIM(Q42))=0</formula>
    </cfRule>
  </conditionalFormatting>
  <conditionalFormatting sqref="S42:S56">
    <cfRule type="cellIs" dxfId="11980" priority="430" stopIfTrue="1" operator="equal">
      <formula>"INVIABLE SANITARIAMENTE"</formula>
    </cfRule>
  </conditionalFormatting>
  <conditionalFormatting sqref="S11:S40 S42:S119">
    <cfRule type="containsText" dxfId="11979" priority="425" stopIfTrue="1" operator="containsText" text="INVIABLE SANITARIAMENTE">
      <formula>NOT(ISERROR(SEARCH("INVIABLE SANITARIAMENTE",S11)))</formula>
    </cfRule>
    <cfRule type="containsText" dxfId="11978" priority="426" stopIfTrue="1" operator="containsText" text="ALTO">
      <formula>NOT(ISERROR(SEARCH("ALTO",S11)))</formula>
    </cfRule>
    <cfRule type="containsText" dxfId="11977" priority="427" stopIfTrue="1" operator="containsText" text="MEDIO">
      <formula>NOT(ISERROR(SEARCH("MEDIO",S11)))</formula>
    </cfRule>
    <cfRule type="containsText" dxfId="11976" priority="428" stopIfTrue="1" operator="containsText" text="BAJO">
      <formula>NOT(ISERROR(SEARCH("BAJO",S11)))</formula>
    </cfRule>
    <cfRule type="containsText" dxfId="11975" priority="429" stopIfTrue="1" operator="containsText" text="SIN RIESGO">
      <formula>NOT(ISERROR(SEARCH("SIN RIESGO",S11)))</formula>
    </cfRule>
  </conditionalFormatting>
  <conditionalFormatting sqref="S42:S56">
    <cfRule type="containsText" dxfId="11974" priority="424" stopIfTrue="1" operator="containsText" text="SIN RIESGO">
      <formula>NOT(ISERROR(SEARCH("SIN RIESGO",S42)))</formula>
    </cfRule>
  </conditionalFormatting>
  <conditionalFormatting sqref="R41">
    <cfRule type="cellIs" dxfId="11973" priority="423" stopIfTrue="1" operator="equal">
      <formula>"NO"</formula>
    </cfRule>
  </conditionalFormatting>
  <conditionalFormatting sqref="Q41">
    <cfRule type="containsBlanks" dxfId="11972" priority="416" stopIfTrue="1">
      <formula>LEN(TRIM(Q41))=0</formula>
    </cfRule>
    <cfRule type="cellIs" dxfId="11971" priority="417" stopIfTrue="1" operator="between">
      <formula>80.1</formula>
      <formula>100</formula>
    </cfRule>
    <cfRule type="cellIs" dxfId="11970" priority="418" stopIfTrue="1" operator="between">
      <formula>35.1</formula>
      <formula>80</formula>
    </cfRule>
    <cfRule type="cellIs" dxfId="11969" priority="419" stopIfTrue="1" operator="between">
      <formula>14.1</formula>
      <formula>35</formula>
    </cfRule>
    <cfRule type="cellIs" dxfId="11968" priority="420" stopIfTrue="1" operator="between">
      <formula>5.1</formula>
      <formula>14</formula>
    </cfRule>
    <cfRule type="cellIs" dxfId="11967" priority="421" stopIfTrue="1" operator="between">
      <formula>0</formula>
      <formula>5</formula>
    </cfRule>
    <cfRule type="containsBlanks" dxfId="11966" priority="422" stopIfTrue="1">
      <formula>LEN(TRIM(Q41))=0</formula>
    </cfRule>
  </conditionalFormatting>
  <conditionalFormatting sqref="Q41">
    <cfRule type="containsBlanks" dxfId="11965" priority="409" stopIfTrue="1">
      <formula>LEN(TRIM(Q41))=0</formula>
    </cfRule>
    <cfRule type="cellIs" dxfId="11964" priority="410" stopIfTrue="1" operator="between">
      <formula>80.1</formula>
      <formula>100</formula>
    </cfRule>
    <cfRule type="cellIs" dxfId="11963" priority="411" stopIfTrue="1" operator="between">
      <formula>35.1</formula>
      <formula>80</formula>
    </cfRule>
    <cfRule type="cellIs" dxfId="11962" priority="412" stopIfTrue="1" operator="between">
      <formula>14.1</formula>
      <formula>35</formula>
    </cfRule>
    <cfRule type="cellIs" dxfId="11961" priority="413" stopIfTrue="1" operator="between">
      <formula>5.1</formula>
      <formula>14</formula>
    </cfRule>
    <cfRule type="cellIs" dxfId="11960" priority="414" stopIfTrue="1" operator="between">
      <formula>0</formula>
      <formula>5</formula>
    </cfRule>
    <cfRule type="containsBlanks" dxfId="11959" priority="415" stopIfTrue="1">
      <formula>LEN(TRIM(Q41))=0</formula>
    </cfRule>
  </conditionalFormatting>
  <conditionalFormatting sqref="Q41">
    <cfRule type="containsBlanks" dxfId="11958" priority="388" stopIfTrue="1">
      <formula>LEN(TRIM(Q41))=0</formula>
    </cfRule>
    <cfRule type="cellIs" dxfId="11957" priority="389" stopIfTrue="1" operator="between">
      <formula>80.1</formula>
      <formula>100</formula>
    </cfRule>
    <cfRule type="cellIs" dxfId="11956" priority="390" stopIfTrue="1" operator="between">
      <formula>35.1</formula>
      <formula>80</formula>
    </cfRule>
    <cfRule type="cellIs" dxfId="11955" priority="391" stopIfTrue="1" operator="between">
      <formula>14.1</formula>
      <formula>35</formula>
    </cfRule>
    <cfRule type="cellIs" dxfId="11954" priority="392" stopIfTrue="1" operator="between">
      <formula>5.1</formula>
      <formula>14</formula>
    </cfRule>
    <cfRule type="cellIs" dxfId="11953" priority="393" stopIfTrue="1" operator="between">
      <formula>0</formula>
      <formula>5</formula>
    </cfRule>
    <cfRule type="containsBlanks" dxfId="11952" priority="394" stopIfTrue="1">
      <formula>LEN(TRIM(Q41))=0</formula>
    </cfRule>
  </conditionalFormatting>
  <conditionalFormatting sqref="S41">
    <cfRule type="cellIs" dxfId="11951" priority="387" stopIfTrue="1" operator="equal">
      <formula>"INVIABLE SANITARIAMENTE"</formula>
    </cfRule>
  </conditionalFormatting>
  <conditionalFormatting sqref="S41">
    <cfRule type="containsText" dxfId="11950" priority="382" stopIfTrue="1" operator="containsText" text="INVIABLE SANITARIAMENTE">
      <formula>NOT(ISERROR(SEARCH("INVIABLE SANITARIAMENTE",S41)))</formula>
    </cfRule>
    <cfRule type="containsText" dxfId="11949" priority="383" stopIfTrue="1" operator="containsText" text="ALTO">
      <formula>NOT(ISERROR(SEARCH("ALTO",S41)))</formula>
    </cfRule>
    <cfRule type="containsText" dxfId="11948" priority="384" stopIfTrue="1" operator="containsText" text="MEDIO">
      <formula>NOT(ISERROR(SEARCH("MEDIO",S41)))</formula>
    </cfRule>
    <cfRule type="containsText" dxfId="11947" priority="385" stopIfTrue="1" operator="containsText" text="BAJO">
      <formula>NOT(ISERROR(SEARCH("BAJO",S41)))</formula>
    </cfRule>
    <cfRule type="containsText" dxfId="11946" priority="386" stopIfTrue="1" operator="containsText" text="SIN RIESGO">
      <formula>NOT(ISERROR(SEARCH("SIN RIESGO",S41)))</formula>
    </cfRule>
  </conditionalFormatting>
  <conditionalFormatting sqref="S41">
    <cfRule type="containsText" dxfId="11945" priority="381" stopIfTrue="1" operator="containsText" text="SIN RIESGO">
      <formula>NOT(ISERROR(SEARCH("SIN RIESGO",S41)))</formula>
    </cfRule>
  </conditionalFormatting>
  <conditionalFormatting sqref="J88:J91">
    <cfRule type="containsBlanks" dxfId="11944" priority="43" stopIfTrue="1">
      <formula>LEN(TRIM(J88))=0</formula>
    </cfRule>
    <cfRule type="cellIs" dxfId="11943" priority="44" stopIfTrue="1" operator="between">
      <formula>80.1</formula>
      <formula>100</formula>
    </cfRule>
    <cfRule type="cellIs" dxfId="11942" priority="45" stopIfTrue="1" operator="between">
      <formula>35.1</formula>
      <formula>80</formula>
    </cfRule>
    <cfRule type="cellIs" dxfId="11941" priority="46" stopIfTrue="1" operator="between">
      <formula>14.1</formula>
      <formula>35</formula>
    </cfRule>
    <cfRule type="cellIs" dxfId="11940" priority="47" stopIfTrue="1" operator="between">
      <formula>5.1</formula>
      <formula>14</formula>
    </cfRule>
    <cfRule type="cellIs" dxfId="11939" priority="48" stopIfTrue="1" operator="between">
      <formula>0</formula>
      <formula>5</formula>
    </cfRule>
    <cfRule type="containsBlanks" dxfId="11938" priority="49" stopIfTrue="1">
      <formula>LEN(TRIM(J88))=0</formula>
    </cfRule>
  </conditionalFormatting>
  <conditionalFormatting sqref="E21:P21">
    <cfRule type="containsBlanks" dxfId="11937" priority="316" stopIfTrue="1">
      <formula>LEN(TRIM(E21))=0</formula>
    </cfRule>
    <cfRule type="cellIs" dxfId="11936" priority="317" stopIfTrue="1" operator="between">
      <formula>80.1</formula>
      <formula>100</formula>
    </cfRule>
    <cfRule type="cellIs" dxfId="11935" priority="318" stopIfTrue="1" operator="between">
      <formula>35.1</formula>
      <formula>80</formula>
    </cfRule>
    <cfRule type="cellIs" dxfId="11934" priority="319" stopIfTrue="1" operator="between">
      <formula>14.1</formula>
      <formula>35</formula>
    </cfRule>
    <cfRule type="cellIs" dxfId="11933" priority="320" stopIfTrue="1" operator="between">
      <formula>5.1</formula>
      <formula>14</formula>
    </cfRule>
    <cfRule type="cellIs" dxfId="11932" priority="321" stopIfTrue="1" operator="between">
      <formula>0</formula>
      <formula>5</formula>
    </cfRule>
    <cfRule type="containsBlanks" dxfId="11931" priority="322" stopIfTrue="1">
      <formula>LEN(TRIM(E21))=0</formula>
    </cfRule>
  </conditionalFormatting>
  <conditionalFormatting sqref="E23:P23">
    <cfRule type="containsBlanks" dxfId="11930" priority="309" stopIfTrue="1">
      <formula>LEN(TRIM(E23))=0</formula>
    </cfRule>
    <cfRule type="cellIs" dxfId="11929" priority="310" stopIfTrue="1" operator="between">
      <formula>80.1</formula>
      <formula>100</formula>
    </cfRule>
    <cfRule type="cellIs" dxfId="11928" priority="311" stopIfTrue="1" operator="between">
      <formula>35.1</formula>
      <formula>80</formula>
    </cfRule>
    <cfRule type="cellIs" dxfId="11927" priority="312" stopIfTrue="1" operator="between">
      <formula>14.1</formula>
      <formula>35</formula>
    </cfRule>
    <cfRule type="cellIs" dxfId="11926" priority="313" stopIfTrue="1" operator="between">
      <formula>5.1</formula>
      <formula>14</formula>
    </cfRule>
    <cfRule type="cellIs" dxfId="11925" priority="314" stopIfTrue="1" operator="between">
      <formula>0</formula>
      <formula>5</formula>
    </cfRule>
    <cfRule type="containsBlanks" dxfId="11924" priority="315" stopIfTrue="1">
      <formula>LEN(TRIM(E23))=0</formula>
    </cfRule>
  </conditionalFormatting>
  <conditionalFormatting sqref="E26:P28">
    <cfRule type="containsBlanks" dxfId="11923" priority="302" stopIfTrue="1">
      <formula>LEN(TRIM(E26))=0</formula>
    </cfRule>
    <cfRule type="cellIs" dxfId="11922" priority="303" stopIfTrue="1" operator="between">
      <formula>80.1</formula>
      <formula>100</formula>
    </cfRule>
    <cfRule type="cellIs" dxfId="11921" priority="304" stopIfTrue="1" operator="between">
      <formula>35.1</formula>
      <formula>80</formula>
    </cfRule>
    <cfRule type="cellIs" dxfId="11920" priority="305" stopIfTrue="1" operator="between">
      <formula>14.1</formula>
      <formula>35</formula>
    </cfRule>
    <cfRule type="cellIs" dxfId="11919" priority="306" stopIfTrue="1" operator="between">
      <formula>5.1</formula>
      <formula>14</formula>
    </cfRule>
    <cfRule type="cellIs" dxfId="11918" priority="307" stopIfTrue="1" operator="between">
      <formula>0</formula>
      <formula>5</formula>
    </cfRule>
    <cfRule type="containsBlanks" dxfId="11917" priority="308" stopIfTrue="1">
      <formula>LEN(TRIM(E26))=0</formula>
    </cfRule>
  </conditionalFormatting>
  <conditionalFormatting sqref="E33:P33">
    <cfRule type="containsBlanks" dxfId="11916" priority="295" stopIfTrue="1">
      <formula>LEN(TRIM(E33))=0</formula>
    </cfRule>
    <cfRule type="cellIs" dxfId="11915" priority="296" stopIfTrue="1" operator="between">
      <formula>80.1</formula>
      <formula>100</formula>
    </cfRule>
    <cfRule type="cellIs" dxfId="11914" priority="297" stopIfTrue="1" operator="between">
      <formula>35.1</formula>
      <formula>80</formula>
    </cfRule>
    <cfRule type="cellIs" dxfId="11913" priority="298" stopIfTrue="1" operator="between">
      <formula>14.1</formula>
      <formula>35</formula>
    </cfRule>
    <cfRule type="cellIs" dxfId="11912" priority="299" stopIfTrue="1" operator="between">
      <formula>5.1</formula>
      <formula>14</formula>
    </cfRule>
    <cfRule type="cellIs" dxfId="11911" priority="300" stopIfTrue="1" operator="between">
      <formula>0</formula>
      <formula>5</formula>
    </cfRule>
    <cfRule type="containsBlanks" dxfId="11910" priority="301" stopIfTrue="1">
      <formula>LEN(TRIM(E33))=0</formula>
    </cfRule>
  </conditionalFormatting>
  <conditionalFormatting sqref="E39:P39">
    <cfRule type="containsBlanks" dxfId="11909" priority="288" stopIfTrue="1">
      <formula>LEN(TRIM(E39))=0</formula>
    </cfRule>
    <cfRule type="cellIs" dxfId="11908" priority="289" stopIfTrue="1" operator="between">
      <formula>80.1</formula>
      <formula>100</formula>
    </cfRule>
    <cfRule type="cellIs" dxfId="11907" priority="290" stopIfTrue="1" operator="between">
      <formula>35.1</formula>
      <formula>80</formula>
    </cfRule>
    <cfRule type="cellIs" dxfId="11906" priority="291" stopIfTrue="1" operator="between">
      <formula>14.1</formula>
      <formula>35</formula>
    </cfRule>
    <cfRule type="cellIs" dxfId="11905" priority="292" stopIfTrue="1" operator="between">
      <formula>5.1</formula>
      <formula>14</formula>
    </cfRule>
    <cfRule type="cellIs" dxfId="11904" priority="293" stopIfTrue="1" operator="between">
      <formula>0</formula>
      <formula>5</formula>
    </cfRule>
    <cfRule type="containsBlanks" dxfId="11903" priority="294" stopIfTrue="1">
      <formula>LEN(TRIM(E39))=0</formula>
    </cfRule>
  </conditionalFormatting>
  <conditionalFormatting sqref="E41:P41">
    <cfRule type="containsBlanks" dxfId="11902" priority="281" stopIfTrue="1">
      <formula>LEN(TRIM(E41))=0</formula>
    </cfRule>
    <cfRule type="cellIs" dxfId="11901" priority="282" stopIfTrue="1" operator="between">
      <formula>80.1</formula>
      <formula>100</formula>
    </cfRule>
    <cfRule type="cellIs" dxfId="11900" priority="283" stopIfTrue="1" operator="between">
      <formula>35.1</formula>
      <formula>80</formula>
    </cfRule>
    <cfRule type="cellIs" dxfId="11899" priority="284" stopIfTrue="1" operator="between">
      <formula>14.1</formula>
      <formula>35</formula>
    </cfRule>
    <cfRule type="cellIs" dxfId="11898" priority="285" stopIfTrue="1" operator="between">
      <formula>5.1</formula>
      <formula>14</formula>
    </cfRule>
    <cfRule type="cellIs" dxfId="11897" priority="286" stopIfTrue="1" operator="between">
      <formula>0</formula>
      <formula>5</formula>
    </cfRule>
    <cfRule type="containsBlanks" dxfId="11896" priority="287" stopIfTrue="1">
      <formula>LEN(TRIM(E41))=0</formula>
    </cfRule>
  </conditionalFormatting>
  <conditionalFormatting sqref="E54:P54">
    <cfRule type="containsBlanks" dxfId="11895" priority="274" stopIfTrue="1">
      <formula>LEN(TRIM(E54))=0</formula>
    </cfRule>
    <cfRule type="cellIs" dxfId="11894" priority="275" stopIfTrue="1" operator="between">
      <formula>80.1</formula>
      <formula>100</formula>
    </cfRule>
    <cfRule type="cellIs" dxfId="11893" priority="276" stopIfTrue="1" operator="between">
      <formula>35.1</formula>
      <formula>80</formula>
    </cfRule>
    <cfRule type="cellIs" dxfId="11892" priority="277" stopIfTrue="1" operator="between">
      <formula>14.1</formula>
      <formula>35</formula>
    </cfRule>
    <cfRule type="cellIs" dxfId="11891" priority="278" stopIfTrue="1" operator="between">
      <formula>5.1</formula>
      <formula>14</formula>
    </cfRule>
    <cfRule type="cellIs" dxfId="11890" priority="279" stopIfTrue="1" operator="between">
      <formula>0</formula>
      <formula>5</formula>
    </cfRule>
    <cfRule type="containsBlanks" dxfId="11889" priority="280" stopIfTrue="1">
      <formula>LEN(TRIM(E54))=0</formula>
    </cfRule>
  </conditionalFormatting>
  <conditionalFormatting sqref="E48:P48">
    <cfRule type="containsBlanks" dxfId="11888" priority="267" stopIfTrue="1">
      <formula>LEN(TRIM(E48))=0</formula>
    </cfRule>
    <cfRule type="cellIs" dxfId="11887" priority="268" stopIfTrue="1" operator="between">
      <formula>80.1</formula>
      <formula>100</formula>
    </cfRule>
    <cfRule type="cellIs" dxfId="11886" priority="269" stopIfTrue="1" operator="between">
      <formula>35.1</formula>
      <formula>80</formula>
    </cfRule>
    <cfRule type="cellIs" dxfId="11885" priority="270" stopIfTrue="1" operator="between">
      <formula>14.1</formula>
      <formula>35</formula>
    </cfRule>
    <cfRule type="cellIs" dxfId="11884" priority="271" stopIfTrue="1" operator="between">
      <formula>5.1</formula>
      <formula>14</formula>
    </cfRule>
    <cfRule type="cellIs" dxfId="11883" priority="272" stopIfTrue="1" operator="between">
      <formula>0</formula>
      <formula>5</formula>
    </cfRule>
    <cfRule type="containsBlanks" dxfId="11882" priority="273" stopIfTrue="1">
      <formula>LEN(TRIM(E48))=0</formula>
    </cfRule>
  </conditionalFormatting>
  <conditionalFormatting sqref="E46:P46">
    <cfRule type="containsBlanks" dxfId="11881" priority="260" stopIfTrue="1">
      <formula>LEN(TRIM(E46))=0</formula>
    </cfRule>
    <cfRule type="cellIs" dxfId="11880" priority="261" stopIfTrue="1" operator="between">
      <formula>80.1</formula>
      <formula>100</formula>
    </cfRule>
    <cfRule type="cellIs" dxfId="11879" priority="262" stopIfTrue="1" operator="between">
      <formula>35.1</formula>
      <formula>80</formula>
    </cfRule>
    <cfRule type="cellIs" dxfId="11878" priority="263" stopIfTrue="1" operator="between">
      <formula>14.1</formula>
      <formula>35</formula>
    </cfRule>
    <cfRule type="cellIs" dxfId="11877" priority="264" stopIfTrue="1" operator="between">
      <formula>5.1</formula>
      <formula>14</formula>
    </cfRule>
    <cfRule type="cellIs" dxfId="11876" priority="265" stopIfTrue="1" operator="between">
      <formula>0</formula>
      <formula>5</formula>
    </cfRule>
    <cfRule type="containsBlanks" dxfId="11875" priority="266" stopIfTrue="1">
      <formula>LEN(TRIM(E46))=0</formula>
    </cfRule>
  </conditionalFormatting>
  <conditionalFormatting sqref="E50:P50">
    <cfRule type="containsBlanks" dxfId="11874" priority="253" stopIfTrue="1">
      <formula>LEN(TRIM(E50))=0</formula>
    </cfRule>
    <cfRule type="cellIs" dxfId="11873" priority="254" stopIfTrue="1" operator="between">
      <formula>80.1</formula>
      <formula>100</formula>
    </cfRule>
    <cfRule type="cellIs" dxfId="11872" priority="255" stopIfTrue="1" operator="between">
      <formula>35.1</formula>
      <formula>80</formula>
    </cfRule>
    <cfRule type="cellIs" dxfId="11871" priority="256" stopIfTrue="1" operator="between">
      <formula>14.1</formula>
      <formula>35</formula>
    </cfRule>
    <cfRule type="cellIs" dxfId="11870" priority="257" stopIfTrue="1" operator="between">
      <formula>5.1</formula>
      <formula>14</formula>
    </cfRule>
    <cfRule type="cellIs" dxfId="11869" priority="258" stopIfTrue="1" operator="between">
      <formula>0</formula>
      <formula>5</formula>
    </cfRule>
    <cfRule type="containsBlanks" dxfId="11868" priority="259" stopIfTrue="1">
      <formula>LEN(TRIM(E50))=0</formula>
    </cfRule>
  </conditionalFormatting>
  <conditionalFormatting sqref="E56:P56">
    <cfRule type="containsBlanks" dxfId="11867" priority="246" stopIfTrue="1">
      <formula>LEN(TRIM(E56))=0</formula>
    </cfRule>
    <cfRule type="cellIs" dxfId="11866" priority="247" stopIfTrue="1" operator="between">
      <formula>80.1</formula>
      <formula>100</formula>
    </cfRule>
    <cfRule type="cellIs" dxfId="11865" priority="248" stopIfTrue="1" operator="between">
      <formula>35.1</formula>
      <formula>80</formula>
    </cfRule>
    <cfRule type="cellIs" dxfId="11864" priority="249" stopIfTrue="1" operator="between">
      <formula>14.1</formula>
      <formula>35</formula>
    </cfRule>
    <cfRule type="cellIs" dxfId="11863" priority="250" stopIfTrue="1" operator="between">
      <formula>5.1</formula>
      <formula>14</formula>
    </cfRule>
    <cfRule type="cellIs" dxfId="11862" priority="251" stopIfTrue="1" operator="between">
      <formula>0</formula>
      <formula>5</formula>
    </cfRule>
    <cfRule type="containsBlanks" dxfId="11861" priority="252" stopIfTrue="1">
      <formula>LEN(TRIM(E56))=0</formula>
    </cfRule>
  </conditionalFormatting>
  <conditionalFormatting sqref="E43:P43">
    <cfRule type="containsBlanks" dxfId="11860" priority="239" stopIfTrue="1">
      <formula>LEN(TRIM(E43))=0</formula>
    </cfRule>
    <cfRule type="cellIs" dxfId="11859" priority="240" stopIfTrue="1" operator="between">
      <formula>80.1</formula>
      <formula>100</formula>
    </cfRule>
    <cfRule type="cellIs" dxfId="11858" priority="241" stopIfTrue="1" operator="between">
      <formula>35.1</formula>
      <formula>80</formula>
    </cfRule>
    <cfRule type="cellIs" dxfId="11857" priority="242" stopIfTrue="1" operator="between">
      <formula>14.1</formula>
      <formula>35</formula>
    </cfRule>
    <cfRule type="cellIs" dxfId="11856" priority="243" stopIfTrue="1" operator="between">
      <formula>5.1</formula>
      <formula>14</formula>
    </cfRule>
    <cfRule type="cellIs" dxfId="11855" priority="244" stopIfTrue="1" operator="between">
      <formula>0</formula>
      <formula>5</formula>
    </cfRule>
    <cfRule type="containsBlanks" dxfId="11854" priority="245" stopIfTrue="1">
      <formula>LEN(TRIM(E43))=0</formula>
    </cfRule>
  </conditionalFormatting>
  <conditionalFormatting sqref="E45:P45">
    <cfRule type="containsBlanks" dxfId="11853" priority="232" stopIfTrue="1">
      <formula>LEN(TRIM(E45))=0</formula>
    </cfRule>
    <cfRule type="cellIs" dxfId="11852" priority="233" stopIfTrue="1" operator="between">
      <formula>80.1</formula>
      <formula>100</formula>
    </cfRule>
    <cfRule type="cellIs" dxfId="11851" priority="234" stopIfTrue="1" operator="between">
      <formula>35.1</formula>
      <formula>80</formula>
    </cfRule>
    <cfRule type="cellIs" dxfId="11850" priority="235" stopIfTrue="1" operator="between">
      <formula>14.1</formula>
      <formula>35</formula>
    </cfRule>
    <cfRule type="cellIs" dxfId="11849" priority="236" stopIfTrue="1" operator="between">
      <formula>5.1</formula>
      <formula>14</formula>
    </cfRule>
    <cfRule type="cellIs" dxfId="11848" priority="237" stopIfTrue="1" operator="between">
      <formula>0</formula>
      <formula>5</formula>
    </cfRule>
    <cfRule type="containsBlanks" dxfId="11847" priority="238" stopIfTrue="1">
      <formula>LEN(TRIM(E45))=0</formula>
    </cfRule>
  </conditionalFormatting>
  <conditionalFormatting sqref="E49:P49">
    <cfRule type="containsBlanks" dxfId="11846" priority="225" stopIfTrue="1">
      <formula>LEN(TRIM(E49))=0</formula>
    </cfRule>
    <cfRule type="cellIs" dxfId="11845" priority="226" stopIfTrue="1" operator="between">
      <formula>80.1</formula>
      <formula>100</formula>
    </cfRule>
    <cfRule type="cellIs" dxfId="11844" priority="227" stopIfTrue="1" operator="between">
      <formula>35.1</formula>
      <formula>80</formula>
    </cfRule>
    <cfRule type="cellIs" dxfId="11843" priority="228" stopIfTrue="1" operator="between">
      <formula>14.1</formula>
      <formula>35</formula>
    </cfRule>
    <cfRule type="cellIs" dxfId="11842" priority="229" stopIfTrue="1" operator="between">
      <formula>5.1</formula>
      <formula>14</formula>
    </cfRule>
    <cfRule type="cellIs" dxfId="11841" priority="230" stopIfTrue="1" operator="between">
      <formula>0</formula>
      <formula>5</formula>
    </cfRule>
    <cfRule type="containsBlanks" dxfId="11840" priority="231" stopIfTrue="1">
      <formula>LEN(TRIM(E49))=0</formula>
    </cfRule>
  </conditionalFormatting>
  <conditionalFormatting sqref="E47:P47">
    <cfRule type="containsBlanks" dxfId="11839" priority="218" stopIfTrue="1">
      <formula>LEN(TRIM(E47))=0</formula>
    </cfRule>
    <cfRule type="cellIs" dxfId="11838" priority="219" stopIfTrue="1" operator="between">
      <formula>80.1</formula>
      <formula>100</formula>
    </cfRule>
    <cfRule type="cellIs" dxfId="11837" priority="220" stopIfTrue="1" operator="between">
      <formula>35.1</formula>
      <formula>80</formula>
    </cfRule>
    <cfRule type="cellIs" dxfId="11836" priority="221" stopIfTrue="1" operator="between">
      <formula>14.1</formula>
      <formula>35</formula>
    </cfRule>
    <cfRule type="cellIs" dxfId="11835" priority="222" stopIfTrue="1" operator="between">
      <formula>5.1</formula>
      <formula>14</formula>
    </cfRule>
    <cfRule type="cellIs" dxfId="11834" priority="223" stopIfTrue="1" operator="between">
      <formula>0</formula>
      <formula>5</formula>
    </cfRule>
    <cfRule type="containsBlanks" dxfId="11833" priority="224" stopIfTrue="1">
      <formula>LEN(TRIM(E47))=0</formula>
    </cfRule>
  </conditionalFormatting>
  <conditionalFormatting sqref="E51:P51">
    <cfRule type="containsBlanks" dxfId="11832" priority="211" stopIfTrue="1">
      <formula>LEN(TRIM(E51))=0</formula>
    </cfRule>
    <cfRule type="cellIs" dxfId="11831" priority="212" stopIfTrue="1" operator="between">
      <formula>80.1</formula>
      <formula>100</formula>
    </cfRule>
    <cfRule type="cellIs" dxfId="11830" priority="213" stopIfTrue="1" operator="between">
      <formula>35.1</formula>
      <formula>80</formula>
    </cfRule>
    <cfRule type="cellIs" dxfId="11829" priority="214" stopIfTrue="1" operator="between">
      <formula>14.1</formula>
      <formula>35</formula>
    </cfRule>
    <cfRule type="cellIs" dxfId="11828" priority="215" stopIfTrue="1" operator="between">
      <formula>5.1</formula>
      <formula>14</formula>
    </cfRule>
    <cfRule type="cellIs" dxfId="11827" priority="216" stopIfTrue="1" operator="between">
      <formula>0</formula>
      <formula>5</formula>
    </cfRule>
    <cfRule type="containsBlanks" dxfId="11826" priority="217" stopIfTrue="1">
      <formula>LEN(TRIM(E51))=0</formula>
    </cfRule>
  </conditionalFormatting>
  <conditionalFormatting sqref="E57:P57">
    <cfRule type="containsBlanks" dxfId="11825" priority="204" stopIfTrue="1">
      <formula>LEN(TRIM(E57))=0</formula>
    </cfRule>
    <cfRule type="cellIs" dxfId="11824" priority="205" stopIfTrue="1" operator="between">
      <formula>80.1</formula>
      <formula>100</formula>
    </cfRule>
    <cfRule type="cellIs" dxfId="11823" priority="206" stopIfTrue="1" operator="between">
      <formula>35.1</formula>
      <formula>80</formula>
    </cfRule>
    <cfRule type="cellIs" dxfId="11822" priority="207" stopIfTrue="1" operator="between">
      <formula>14.1</formula>
      <formula>35</formula>
    </cfRule>
    <cfRule type="cellIs" dxfId="11821" priority="208" stopIfTrue="1" operator="between">
      <formula>5.1</formula>
      <formula>14</formula>
    </cfRule>
    <cfRule type="cellIs" dxfId="11820" priority="209" stopIfTrue="1" operator="between">
      <formula>0</formula>
      <formula>5</formula>
    </cfRule>
    <cfRule type="containsBlanks" dxfId="11819" priority="210" stopIfTrue="1">
      <formula>LEN(TRIM(E57))=0</formula>
    </cfRule>
  </conditionalFormatting>
  <conditionalFormatting sqref="E55:P55">
    <cfRule type="containsBlanks" dxfId="11818" priority="197" stopIfTrue="1">
      <formula>LEN(TRIM(E55))=0</formula>
    </cfRule>
    <cfRule type="cellIs" dxfId="11817" priority="198" stopIfTrue="1" operator="between">
      <formula>80.1</formula>
      <formula>100</formula>
    </cfRule>
    <cfRule type="cellIs" dxfId="11816" priority="199" stopIfTrue="1" operator="between">
      <formula>35.1</formula>
      <formula>80</formula>
    </cfRule>
    <cfRule type="cellIs" dxfId="11815" priority="200" stopIfTrue="1" operator="between">
      <formula>14.1</formula>
      <formula>35</formula>
    </cfRule>
    <cfRule type="cellIs" dxfId="11814" priority="201" stopIfTrue="1" operator="between">
      <formula>5.1</formula>
      <formula>14</formula>
    </cfRule>
    <cfRule type="cellIs" dxfId="11813" priority="202" stopIfTrue="1" operator="between">
      <formula>0</formula>
      <formula>5</formula>
    </cfRule>
    <cfRule type="containsBlanks" dxfId="11812" priority="203" stopIfTrue="1">
      <formula>LEN(TRIM(E55))=0</formula>
    </cfRule>
  </conditionalFormatting>
  <conditionalFormatting sqref="E52:P52">
    <cfRule type="containsBlanks" dxfId="11811" priority="190" stopIfTrue="1">
      <formula>LEN(TRIM(E52))=0</formula>
    </cfRule>
    <cfRule type="cellIs" dxfId="11810" priority="191" stopIfTrue="1" operator="between">
      <formula>80.1</formula>
      <formula>100</formula>
    </cfRule>
    <cfRule type="cellIs" dxfId="11809" priority="192" stopIfTrue="1" operator="between">
      <formula>35.1</formula>
      <formula>80</formula>
    </cfRule>
    <cfRule type="cellIs" dxfId="11808" priority="193" stopIfTrue="1" operator="between">
      <formula>14.1</formula>
      <formula>35</formula>
    </cfRule>
    <cfRule type="cellIs" dxfId="11807" priority="194" stopIfTrue="1" operator="between">
      <formula>5.1</formula>
      <formula>14</formula>
    </cfRule>
    <cfRule type="cellIs" dxfId="11806" priority="195" stopIfTrue="1" operator="between">
      <formula>0</formula>
      <formula>5</formula>
    </cfRule>
    <cfRule type="containsBlanks" dxfId="11805" priority="196" stopIfTrue="1">
      <formula>LEN(TRIM(E52))=0</formula>
    </cfRule>
  </conditionalFormatting>
  <conditionalFormatting sqref="E53:P53">
    <cfRule type="containsBlanks" dxfId="11804" priority="183" stopIfTrue="1">
      <formula>LEN(TRIM(E53))=0</formula>
    </cfRule>
    <cfRule type="cellIs" dxfId="11803" priority="184" stopIfTrue="1" operator="between">
      <formula>80.1</formula>
      <formula>100</formula>
    </cfRule>
    <cfRule type="cellIs" dxfId="11802" priority="185" stopIfTrue="1" operator="between">
      <formula>35.1</formula>
      <formula>80</formula>
    </cfRule>
    <cfRule type="cellIs" dxfId="11801" priority="186" stopIfTrue="1" operator="between">
      <formula>14.1</formula>
      <formula>35</formula>
    </cfRule>
    <cfRule type="cellIs" dxfId="11800" priority="187" stopIfTrue="1" operator="between">
      <formula>5.1</formula>
      <formula>14</formula>
    </cfRule>
    <cfRule type="cellIs" dxfId="11799" priority="188" stopIfTrue="1" operator="between">
      <formula>0</formula>
      <formula>5</formula>
    </cfRule>
    <cfRule type="containsBlanks" dxfId="11798" priority="189" stopIfTrue="1">
      <formula>LEN(TRIM(E53))=0</formula>
    </cfRule>
  </conditionalFormatting>
  <conditionalFormatting sqref="E44:P44">
    <cfRule type="containsBlanks" dxfId="11797" priority="176" stopIfTrue="1">
      <formula>LEN(TRIM(E44))=0</formula>
    </cfRule>
    <cfRule type="cellIs" dxfId="11796" priority="177" stopIfTrue="1" operator="between">
      <formula>80.1</formula>
      <formula>100</formula>
    </cfRule>
    <cfRule type="cellIs" dxfId="11795" priority="178" stopIfTrue="1" operator="between">
      <formula>35.1</formula>
      <formula>80</formula>
    </cfRule>
    <cfRule type="cellIs" dxfId="11794" priority="179" stopIfTrue="1" operator="between">
      <formula>14.1</formula>
      <formula>35</formula>
    </cfRule>
    <cfRule type="cellIs" dxfId="11793" priority="180" stopIfTrue="1" operator="between">
      <formula>5.1</formula>
      <formula>14</formula>
    </cfRule>
    <cfRule type="cellIs" dxfId="11792" priority="181" stopIfTrue="1" operator="between">
      <formula>0</formula>
      <formula>5</formula>
    </cfRule>
    <cfRule type="containsBlanks" dxfId="11791" priority="182" stopIfTrue="1">
      <formula>LEN(TRIM(E44))=0</formula>
    </cfRule>
  </conditionalFormatting>
  <conditionalFormatting sqref="E58:P61">
    <cfRule type="containsBlanks" dxfId="11790" priority="169" stopIfTrue="1">
      <formula>LEN(TRIM(E58))=0</formula>
    </cfRule>
    <cfRule type="cellIs" dxfId="11789" priority="170" stopIfTrue="1" operator="between">
      <formula>80.1</formula>
      <formula>100</formula>
    </cfRule>
    <cfRule type="cellIs" dxfId="11788" priority="171" stopIfTrue="1" operator="between">
      <formula>35.1</formula>
      <formula>80</formula>
    </cfRule>
    <cfRule type="cellIs" dxfId="11787" priority="172" stopIfTrue="1" operator="between">
      <formula>14.1</formula>
      <formula>35</formula>
    </cfRule>
    <cfRule type="cellIs" dxfId="11786" priority="173" stopIfTrue="1" operator="between">
      <formula>5.1</formula>
      <formula>14</formula>
    </cfRule>
    <cfRule type="cellIs" dxfId="11785" priority="174" stopIfTrue="1" operator="between">
      <formula>0</formula>
      <formula>5</formula>
    </cfRule>
    <cfRule type="containsBlanks" dxfId="11784" priority="175" stopIfTrue="1">
      <formula>LEN(TRIM(E58))=0</formula>
    </cfRule>
  </conditionalFormatting>
  <conditionalFormatting sqref="E65:P66">
    <cfRule type="containsBlanks" dxfId="11783" priority="162" stopIfTrue="1">
      <formula>LEN(TRIM(E65))=0</formula>
    </cfRule>
    <cfRule type="cellIs" dxfId="11782" priority="163" stopIfTrue="1" operator="between">
      <formula>79.1</formula>
      <formula>100</formula>
    </cfRule>
    <cfRule type="cellIs" dxfId="11781" priority="164" stopIfTrue="1" operator="between">
      <formula>34.1</formula>
      <formula>79</formula>
    </cfRule>
    <cfRule type="cellIs" dxfId="11780" priority="165" stopIfTrue="1" operator="between">
      <formula>13.1</formula>
      <formula>34</formula>
    </cfRule>
    <cfRule type="cellIs" dxfId="11779" priority="166" stopIfTrue="1" operator="between">
      <formula>5.1</formula>
      <formula>13</formula>
    </cfRule>
    <cfRule type="cellIs" dxfId="11778" priority="167" stopIfTrue="1" operator="between">
      <formula>0</formula>
      <formula>5</formula>
    </cfRule>
    <cfRule type="containsBlanks" dxfId="11777" priority="168" stopIfTrue="1">
      <formula>LEN(TRIM(E65))=0</formula>
    </cfRule>
  </conditionalFormatting>
  <conditionalFormatting sqref="E69:P69">
    <cfRule type="containsBlanks" dxfId="11776" priority="155" stopIfTrue="1">
      <formula>LEN(TRIM(E69))=0</formula>
    </cfRule>
    <cfRule type="cellIs" dxfId="11775" priority="156" stopIfTrue="1" operator="between">
      <formula>79.1</formula>
      <formula>100</formula>
    </cfRule>
    <cfRule type="cellIs" dxfId="11774" priority="157" stopIfTrue="1" operator="between">
      <formula>34.1</formula>
      <formula>79</formula>
    </cfRule>
    <cfRule type="cellIs" dxfId="11773" priority="158" stopIfTrue="1" operator="between">
      <formula>13.1</formula>
      <formula>34</formula>
    </cfRule>
    <cfRule type="cellIs" dxfId="11772" priority="159" stopIfTrue="1" operator="between">
      <formula>5.1</formula>
      <formula>13</formula>
    </cfRule>
    <cfRule type="cellIs" dxfId="11771" priority="160" stopIfTrue="1" operator="between">
      <formula>0</formula>
      <formula>5</formula>
    </cfRule>
    <cfRule type="containsBlanks" dxfId="11770" priority="161" stopIfTrue="1">
      <formula>LEN(TRIM(E69))=0</formula>
    </cfRule>
  </conditionalFormatting>
  <conditionalFormatting sqref="E64:P64">
    <cfRule type="containsBlanks" dxfId="11769" priority="148" stopIfTrue="1">
      <formula>LEN(TRIM(E64))=0</formula>
    </cfRule>
    <cfRule type="cellIs" dxfId="11768" priority="149" stopIfTrue="1" operator="between">
      <formula>79.1</formula>
      <formula>100</formula>
    </cfRule>
    <cfRule type="cellIs" dxfId="11767" priority="150" stopIfTrue="1" operator="between">
      <formula>34.1</formula>
      <formula>79</formula>
    </cfRule>
    <cfRule type="cellIs" dxfId="11766" priority="151" stopIfTrue="1" operator="between">
      <formula>13.1</formula>
      <formula>34</formula>
    </cfRule>
    <cfRule type="cellIs" dxfId="11765" priority="152" stopIfTrue="1" operator="between">
      <formula>5.1</formula>
      <formula>13</formula>
    </cfRule>
    <cfRule type="cellIs" dxfId="11764" priority="153" stopIfTrue="1" operator="between">
      <formula>0</formula>
      <formula>5</formula>
    </cfRule>
    <cfRule type="containsBlanks" dxfId="11763" priority="154" stopIfTrue="1">
      <formula>LEN(TRIM(E64))=0</formula>
    </cfRule>
  </conditionalFormatting>
  <conditionalFormatting sqref="E63:P63">
    <cfRule type="containsBlanks" dxfId="11762" priority="141" stopIfTrue="1">
      <formula>LEN(TRIM(E63))=0</formula>
    </cfRule>
    <cfRule type="cellIs" dxfId="11761" priority="142" stopIfTrue="1" operator="between">
      <formula>79.1</formula>
      <formula>100</formula>
    </cfRule>
    <cfRule type="cellIs" dxfId="11760" priority="143" stopIfTrue="1" operator="between">
      <formula>34.1</formula>
      <formula>79</formula>
    </cfRule>
    <cfRule type="cellIs" dxfId="11759" priority="144" stopIfTrue="1" operator="between">
      <formula>13.1</formula>
      <formula>34</formula>
    </cfRule>
    <cfRule type="cellIs" dxfId="11758" priority="145" stopIfTrue="1" operator="between">
      <formula>5.1</formula>
      <formula>13</formula>
    </cfRule>
    <cfRule type="cellIs" dxfId="11757" priority="146" stopIfTrue="1" operator="between">
      <formula>0</formula>
      <formula>5</formula>
    </cfRule>
    <cfRule type="containsBlanks" dxfId="11756" priority="147" stopIfTrue="1">
      <formula>LEN(TRIM(E63))=0</formula>
    </cfRule>
  </conditionalFormatting>
  <conditionalFormatting sqref="E75:P75">
    <cfRule type="containsBlanks" dxfId="11755" priority="134" stopIfTrue="1">
      <formula>LEN(TRIM(E75))=0</formula>
    </cfRule>
    <cfRule type="cellIs" dxfId="11754" priority="135" stopIfTrue="1" operator="between">
      <formula>79.1</formula>
      <formula>100</formula>
    </cfRule>
    <cfRule type="cellIs" dxfId="11753" priority="136" stopIfTrue="1" operator="between">
      <formula>34.1</formula>
      <formula>79</formula>
    </cfRule>
    <cfRule type="cellIs" dxfId="11752" priority="137" stopIfTrue="1" operator="between">
      <formula>13.1</formula>
      <formula>34</formula>
    </cfRule>
    <cfRule type="cellIs" dxfId="11751" priority="138" stopIfTrue="1" operator="between">
      <formula>5.1</formula>
      <formula>13</formula>
    </cfRule>
    <cfRule type="cellIs" dxfId="11750" priority="139" stopIfTrue="1" operator="between">
      <formula>0</formula>
      <formula>5</formula>
    </cfRule>
    <cfRule type="containsBlanks" dxfId="11749" priority="140" stopIfTrue="1">
      <formula>LEN(TRIM(E75))=0</formula>
    </cfRule>
  </conditionalFormatting>
  <conditionalFormatting sqref="E67:P67">
    <cfRule type="containsBlanks" dxfId="11748" priority="127" stopIfTrue="1">
      <formula>LEN(TRIM(E67))=0</formula>
    </cfRule>
    <cfRule type="cellIs" dxfId="11747" priority="128" stopIfTrue="1" operator="between">
      <formula>79.1</formula>
      <formula>100</formula>
    </cfRule>
    <cfRule type="cellIs" dxfId="11746" priority="129" stopIfTrue="1" operator="between">
      <formula>34.1</formula>
      <formula>79</formula>
    </cfRule>
    <cfRule type="cellIs" dxfId="11745" priority="130" stopIfTrue="1" operator="between">
      <formula>13.1</formula>
      <formula>34</formula>
    </cfRule>
    <cfRule type="cellIs" dxfId="11744" priority="131" stopIfTrue="1" operator="between">
      <formula>5.1</formula>
      <formula>13</formula>
    </cfRule>
    <cfRule type="cellIs" dxfId="11743" priority="132" stopIfTrue="1" operator="between">
      <formula>0</formula>
      <formula>5</formula>
    </cfRule>
    <cfRule type="containsBlanks" dxfId="11742" priority="133" stopIfTrue="1">
      <formula>LEN(TRIM(E67))=0</formula>
    </cfRule>
  </conditionalFormatting>
  <conditionalFormatting sqref="E76:I76 K76:P76">
    <cfRule type="containsBlanks" dxfId="11741" priority="120" stopIfTrue="1">
      <formula>LEN(TRIM(E76))=0</formula>
    </cfRule>
    <cfRule type="cellIs" dxfId="11740" priority="121" stopIfTrue="1" operator="between">
      <formula>80.1</formula>
      <formula>100</formula>
    </cfRule>
    <cfRule type="cellIs" dxfId="11739" priority="122" stopIfTrue="1" operator="between">
      <formula>35.1</formula>
      <formula>80</formula>
    </cfRule>
    <cfRule type="cellIs" dxfId="11738" priority="123" stopIfTrue="1" operator="between">
      <formula>14.1</formula>
      <formula>35</formula>
    </cfRule>
    <cfRule type="cellIs" dxfId="11737" priority="124" stopIfTrue="1" operator="between">
      <formula>5.1</formula>
      <formula>14</formula>
    </cfRule>
    <cfRule type="cellIs" dxfId="11736" priority="125" stopIfTrue="1" operator="between">
      <formula>0</formula>
      <formula>5</formula>
    </cfRule>
    <cfRule type="containsBlanks" dxfId="11735" priority="126" stopIfTrue="1">
      <formula>LEN(TRIM(E76))=0</formula>
    </cfRule>
  </conditionalFormatting>
  <conditionalFormatting sqref="J76">
    <cfRule type="containsBlanks" dxfId="11734" priority="113" stopIfTrue="1">
      <formula>LEN(TRIM(J76))=0</formula>
    </cfRule>
    <cfRule type="cellIs" dxfId="11733" priority="114" stopIfTrue="1" operator="between">
      <formula>80.1</formula>
      <formula>100</formula>
    </cfRule>
    <cfRule type="cellIs" dxfId="11732" priority="115" stopIfTrue="1" operator="between">
      <formula>35.1</formula>
      <formula>80</formula>
    </cfRule>
    <cfRule type="cellIs" dxfId="11731" priority="116" stopIfTrue="1" operator="between">
      <formula>14.1</formula>
      <formula>35</formula>
    </cfRule>
    <cfRule type="cellIs" dxfId="11730" priority="117" stopIfTrue="1" operator="between">
      <formula>5.1</formula>
      <formula>14</formula>
    </cfRule>
    <cfRule type="cellIs" dxfId="11729" priority="118" stopIfTrue="1" operator="between">
      <formula>0</formula>
      <formula>5</formula>
    </cfRule>
    <cfRule type="containsBlanks" dxfId="11728" priority="119" stopIfTrue="1">
      <formula>LEN(TRIM(J76))=0</formula>
    </cfRule>
  </conditionalFormatting>
  <conditionalFormatting sqref="M79:Q79 E78:I84 K79 K80:Q84 K78:Q78">
    <cfRule type="containsBlanks" dxfId="11727" priority="106" stopIfTrue="1">
      <formula>LEN(TRIM(E78))=0</formula>
    </cfRule>
    <cfRule type="cellIs" dxfId="11726" priority="107" stopIfTrue="1" operator="between">
      <formula>80.1</formula>
      <formula>100</formula>
    </cfRule>
    <cfRule type="cellIs" dxfId="11725" priority="108" stopIfTrue="1" operator="between">
      <formula>35.1</formula>
      <formula>80</formula>
    </cfRule>
    <cfRule type="cellIs" dxfId="11724" priority="109" stopIfTrue="1" operator="between">
      <formula>14.1</formula>
      <formula>35</formula>
    </cfRule>
    <cfRule type="cellIs" dxfId="11723" priority="110" stopIfTrue="1" operator="between">
      <formula>5.1</formula>
      <formula>14</formula>
    </cfRule>
    <cfRule type="cellIs" dxfId="11722" priority="111" stopIfTrue="1" operator="between">
      <formula>0</formula>
      <formula>5</formula>
    </cfRule>
    <cfRule type="containsBlanks" dxfId="11721" priority="112" stopIfTrue="1">
      <formula>LEN(TRIM(E78))=0</formula>
    </cfRule>
  </conditionalFormatting>
  <conditionalFormatting sqref="J80:J84">
    <cfRule type="containsBlanks" dxfId="11720" priority="99" stopIfTrue="1">
      <formula>LEN(TRIM(J80))=0</formula>
    </cfRule>
    <cfRule type="cellIs" dxfId="11719" priority="100" stopIfTrue="1" operator="between">
      <formula>80.1</formula>
      <formula>100</formula>
    </cfRule>
    <cfRule type="cellIs" dxfId="11718" priority="101" stopIfTrue="1" operator="between">
      <formula>35.1</formula>
      <formula>80</formula>
    </cfRule>
    <cfRule type="cellIs" dxfId="11717" priority="102" stopIfTrue="1" operator="between">
      <formula>14.1</formula>
      <formula>35</formula>
    </cfRule>
    <cfRule type="cellIs" dxfId="11716" priority="103" stopIfTrue="1" operator="between">
      <formula>5.1</formula>
      <formula>14</formula>
    </cfRule>
    <cfRule type="cellIs" dxfId="11715" priority="104" stopIfTrue="1" operator="between">
      <formula>0</formula>
      <formula>5</formula>
    </cfRule>
    <cfRule type="containsBlanks" dxfId="11714" priority="105" stopIfTrue="1">
      <formula>LEN(TRIM(J80))=0</formula>
    </cfRule>
  </conditionalFormatting>
  <conditionalFormatting sqref="J78">
    <cfRule type="containsBlanks" dxfId="11713" priority="92" stopIfTrue="1">
      <formula>LEN(TRIM(J78))=0</formula>
    </cfRule>
    <cfRule type="cellIs" dxfId="11712" priority="93" stopIfTrue="1" operator="between">
      <formula>80.1</formula>
      <formula>100</formula>
    </cfRule>
    <cfRule type="cellIs" dxfId="11711" priority="94" stopIfTrue="1" operator="between">
      <formula>35.1</formula>
      <formula>80</formula>
    </cfRule>
    <cfRule type="cellIs" dxfId="11710" priority="95" stopIfTrue="1" operator="between">
      <formula>14.1</formula>
      <formula>35</formula>
    </cfRule>
    <cfRule type="cellIs" dxfId="11709" priority="96" stopIfTrue="1" operator="between">
      <formula>5.1</formula>
      <formula>14</formula>
    </cfRule>
    <cfRule type="cellIs" dxfId="11708" priority="97" stopIfTrue="1" operator="between">
      <formula>0</formula>
      <formula>5</formula>
    </cfRule>
    <cfRule type="containsBlanks" dxfId="11707" priority="98" stopIfTrue="1">
      <formula>LEN(TRIM(J78))=0</formula>
    </cfRule>
  </conditionalFormatting>
  <conditionalFormatting sqref="J79">
    <cfRule type="containsBlanks" dxfId="11706" priority="85" stopIfTrue="1">
      <formula>LEN(TRIM(J79))=0</formula>
    </cfRule>
    <cfRule type="cellIs" dxfId="11705" priority="86" stopIfTrue="1" operator="between">
      <formula>80.1</formula>
      <formula>100</formula>
    </cfRule>
    <cfRule type="cellIs" dxfId="11704" priority="87" stopIfTrue="1" operator="between">
      <formula>35.1</formula>
      <formula>80</formula>
    </cfRule>
    <cfRule type="cellIs" dxfId="11703" priority="88" stopIfTrue="1" operator="between">
      <formula>14.1</formula>
      <formula>35</formula>
    </cfRule>
    <cfRule type="cellIs" dxfId="11702" priority="89" stopIfTrue="1" operator="between">
      <formula>5.1</formula>
      <formula>14</formula>
    </cfRule>
    <cfRule type="cellIs" dxfId="11701" priority="90" stopIfTrue="1" operator="between">
      <formula>0</formula>
      <formula>5</formula>
    </cfRule>
    <cfRule type="containsBlanks" dxfId="11700" priority="91" stopIfTrue="1">
      <formula>LEN(TRIM(J79))=0</formula>
    </cfRule>
  </conditionalFormatting>
  <conditionalFormatting sqref="E85:I85 K85:P85">
    <cfRule type="containsBlanks" dxfId="11699" priority="78" stopIfTrue="1">
      <formula>LEN(TRIM(E85))=0</formula>
    </cfRule>
    <cfRule type="cellIs" dxfId="11698" priority="79" stopIfTrue="1" operator="between">
      <formula>80.1</formula>
      <formula>100</formula>
    </cfRule>
    <cfRule type="cellIs" dxfId="11697" priority="80" stopIfTrue="1" operator="between">
      <formula>35.1</formula>
      <formula>80</formula>
    </cfRule>
    <cfRule type="cellIs" dxfId="11696" priority="81" stopIfTrue="1" operator="between">
      <formula>14.1</formula>
      <formula>35</formula>
    </cfRule>
    <cfRule type="cellIs" dxfId="11695" priority="82" stopIfTrue="1" operator="between">
      <formula>5.1</formula>
      <formula>14</formula>
    </cfRule>
    <cfRule type="cellIs" dxfId="11694" priority="83" stopIfTrue="1" operator="between">
      <formula>0</formula>
      <formula>5</formula>
    </cfRule>
    <cfRule type="containsBlanks" dxfId="11693" priority="84" stopIfTrue="1">
      <formula>LEN(TRIM(E85))=0</formula>
    </cfRule>
  </conditionalFormatting>
  <conditionalFormatting sqref="J85">
    <cfRule type="containsBlanks" dxfId="11692" priority="71" stopIfTrue="1">
      <formula>LEN(TRIM(J85))=0</formula>
    </cfRule>
    <cfRule type="cellIs" dxfId="11691" priority="72" stopIfTrue="1" operator="between">
      <formula>80.1</formula>
      <formula>100</formula>
    </cfRule>
    <cfRule type="cellIs" dxfId="11690" priority="73" stopIfTrue="1" operator="between">
      <formula>35.1</formula>
      <formula>80</formula>
    </cfRule>
    <cfRule type="cellIs" dxfId="11689" priority="74" stopIfTrue="1" operator="between">
      <formula>14.1</formula>
      <formula>35</formula>
    </cfRule>
    <cfRule type="cellIs" dxfId="11688" priority="75" stopIfTrue="1" operator="between">
      <formula>5.1</formula>
      <formula>14</formula>
    </cfRule>
    <cfRule type="cellIs" dxfId="11687" priority="76" stopIfTrue="1" operator="between">
      <formula>0</formula>
      <formula>5</formula>
    </cfRule>
    <cfRule type="containsBlanks" dxfId="11686" priority="77" stopIfTrue="1">
      <formula>LEN(TRIM(J85))=0</formula>
    </cfRule>
  </conditionalFormatting>
  <conditionalFormatting sqref="H90:I90 E90:F90 E96:P96 E86:I89 E91:I95 K86:P91 K92:N95 P92:P95">
    <cfRule type="containsBlanks" dxfId="11685" priority="64" stopIfTrue="1">
      <formula>LEN(TRIM(E86))=0</formula>
    </cfRule>
    <cfRule type="cellIs" dxfId="11684" priority="65" stopIfTrue="1" operator="between">
      <formula>80.1</formula>
      <formula>100</formula>
    </cfRule>
    <cfRule type="cellIs" dxfId="11683" priority="66" stopIfTrue="1" operator="between">
      <formula>35.1</formula>
      <formula>80</formula>
    </cfRule>
    <cfRule type="cellIs" dxfId="11682" priority="67" stopIfTrue="1" operator="between">
      <formula>14.1</formula>
      <formula>35</formula>
    </cfRule>
    <cfRule type="cellIs" dxfId="11681" priority="68" stopIfTrue="1" operator="between">
      <formula>5.1</formula>
      <formula>14</formula>
    </cfRule>
    <cfRule type="cellIs" dxfId="11680" priority="69" stopIfTrue="1" operator="between">
      <formula>0</formula>
      <formula>5</formula>
    </cfRule>
    <cfRule type="containsBlanks" dxfId="11679" priority="70" stopIfTrue="1">
      <formula>LEN(TRIM(E86))=0</formula>
    </cfRule>
  </conditionalFormatting>
  <conditionalFormatting sqref="J87">
    <cfRule type="containsBlanks" dxfId="11678" priority="57" stopIfTrue="1">
      <formula>LEN(TRIM(J87))=0</formula>
    </cfRule>
    <cfRule type="cellIs" dxfId="11677" priority="58" stopIfTrue="1" operator="between">
      <formula>80.1</formula>
      <formula>100</formula>
    </cfRule>
    <cfRule type="cellIs" dxfId="11676" priority="59" stopIfTrue="1" operator="between">
      <formula>35.1</formula>
      <formula>80</formula>
    </cfRule>
    <cfRule type="cellIs" dxfId="11675" priority="60" stopIfTrue="1" operator="between">
      <formula>14.1</formula>
      <formula>35</formula>
    </cfRule>
    <cfRule type="cellIs" dxfId="11674" priority="61" stopIfTrue="1" operator="between">
      <formula>5.1</formula>
      <formula>14</formula>
    </cfRule>
    <cfRule type="cellIs" dxfId="11673" priority="62" stopIfTrue="1" operator="between">
      <formula>0</formula>
      <formula>5</formula>
    </cfRule>
    <cfRule type="containsBlanks" dxfId="11672" priority="63" stopIfTrue="1">
      <formula>LEN(TRIM(J87))=0</formula>
    </cfRule>
  </conditionalFormatting>
  <conditionalFormatting sqref="J86">
    <cfRule type="containsBlanks" dxfId="11671" priority="50" stopIfTrue="1">
      <formula>LEN(TRIM(J86))=0</formula>
    </cfRule>
    <cfRule type="cellIs" dxfId="11670" priority="51" stopIfTrue="1" operator="between">
      <formula>80.1</formula>
      <formula>100</formula>
    </cfRule>
    <cfRule type="cellIs" dxfId="11669" priority="52" stopIfTrue="1" operator="between">
      <formula>35.1</formula>
      <formula>80</formula>
    </cfRule>
    <cfRule type="cellIs" dxfId="11668" priority="53" stopIfTrue="1" operator="between">
      <formula>14.1</formula>
      <formula>35</formula>
    </cfRule>
    <cfRule type="cellIs" dxfId="11667" priority="54" stopIfTrue="1" operator="between">
      <formula>5.1</formula>
      <formula>14</formula>
    </cfRule>
    <cfRule type="cellIs" dxfId="11666" priority="55" stopIfTrue="1" operator="between">
      <formula>0</formula>
      <formula>5</formula>
    </cfRule>
    <cfRule type="containsBlanks" dxfId="11665" priority="56" stopIfTrue="1">
      <formula>LEN(TRIM(J86))=0</formula>
    </cfRule>
  </conditionalFormatting>
  <conditionalFormatting sqref="E98:P99">
    <cfRule type="containsBlanks" dxfId="11664" priority="36" stopIfTrue="1">
      <formula>LEN(TRIM(E98))=0</formula>
    </cfRule>
    <cfRule type="cellIs" dxfId="11663" priority="37" stopIfTrue="1" operator="between">
      <formula>80.1</formula>
      <formula>100</formula>
    </cfRule>
    <cfRule type="cellIs" dxfId="11662" priority="38" stopIfTrue="1" operator="between">
      <formula>35.1</formula>
      <formula>80</formula>
    </cfRule>
    <cfRule type="cellIs" dxfId="11661" priority="39" stopIfTrue="1" operator="between">
      <formula>14.1</formula>
      <formula>35</formula>
    </cfRule>
    <cfRule type="cellIs" dxfId="11660" priority="40" stopIfTrue="1" operator="between">
      <formula>5.1</formula>
      <formula>14</formula>
    </cfRule>
    <cfRule type="cellIs" dxfId="11659" priority="41" stopIfTrue="1" operator="between">
      <formula>0</formula>
      <formula>5</formula>
    </cfRule>
    <cfRule type="containsBlanks" dxfId="11658" priority="42" stopIfTrue="1">
      <formula>LEN(TRIM(E98))=0</formula>
    </cfRule>
  </conditionalFormatting>
  <conditionalFormatting sqref="E106:P119">
    <cfRule type="containsBlanks" dxfId="11657" priority="29" stopIfTrue="1">
      <formula>LEN(TRIM(E106))=0</formula>
    </cfRule>
    <cfRule type="cellIs" dxfId="11656" priority="30" stopIfTrue="1" operator="between">
      <formula>80.1</formula>
      <formula>100</formula>
    </cfRule>
    <cfRule type="cellIs" dxfId="11655" priority="31" stopIfTrue="1" operator="between">
      <formula>35.1</formula>
      <formula>80</formula>
    </cfRule>
    <cfRule type="cellIs" dxfId="11654" priority="32" stopIfTrue="1" operator="between">
      <formula>14.1</formula>
      <formula>35</formula>
    </cfRule>
    <cfRule type="cellIs" dxfId="11653" priority="33" stopIfTrue="1" operator="between">
      <formula>5.1</formula>
      <formula>14</formula>
    </cfRule>
    <cfRule type="cellIs" dxfId="11652" priority="34" stopIfTrue="1" operator="between">
      <formula>0</formula>
      <formula>5</formula>
    </cfRule>
    <cfRule type="containsBlanks" dxfId="11651" priority="35" stopIfTrue="1">
      <formula>LEN(TRIM(E106))=0</formula>
    </cfRule>
  </conditionalFormatting>
  <conditionalFormatting sqref="J92:J95">
    <cfRule type="containsBlanks" dxfId="11650" priority="22" stopIfTrue="1">
      <formula>LEN(TRIM(J92))=0</formula>
    </cfRule>
    <cfRule type="cellIs" dxfId="11649" priority="23" stopIfTrue="1" operator="between">
      <formula>80.1</formula>
      <formula>100</formula>
    </cfRule>
    <cfRule type="cellIs" dxfId="11648" priority="24" stopIfTrue="1" operator="between">
      <formula>35.1</formula>
      <formula>80</formula>
    </cfRule>
    <cfRule type="cellIs" dxfId="11647" priority="25" stopIfTrue="1" operator="between">
      <formula>14.1</formula>
      <formula>35</formula>
    </cfRule>
    <cfRule type="cellIs" dxfId="11646" priority="26" stopIfTrue="1" operator="between">
      <formula>5.1</formula>
      <formula>14</formula>
    </cfRule>
    <cfRule type="cellIs" dxfId="11645" priority="27" stopIfTrue="1" operator="between">
      <formula>0</formula>
      <formula>5</formula>
    </cfRule>
    <cfRule type="containsBlanks" dxfId="11644" priority="28" stopIfTrue="1">
      <formula>LEN(TRIM(J92))=0</formula>
    </cfRule>
  </conditionalFormatting>
  <conditionalFormatting sqref="J92:J95">
    <cfRule type="containsBlanks" dxfId="11643" priority="15" stopIfTrue="1">
      <formula>LEN(TRIM(J92))=0</formula>
    </cfRule>
    <cfRule type="cellIs" dxfId="11642" priority="16" stopIfTrue="1" operator="between">
      <formula>80.1</formula>
      <formula>100</formula>
    </cfRule>
    <cfRule type="cellIs" dxfId="11641" priority="17" stopIfTrue="1" operator="between">
      <formula>35.1</formula>
      <formula>80</formula>
    </cfRule>
    <cfRule type="cellIs" dxfId="11640" priority="18" stopIfTrue="1" operator="between">
      <formula>14.1</formula>
      <formula>35</formula>
    </cfRule>
    <cfRule type="cellIs" dxfId="11639" priority="19" stopIfTrue="1" operator="between">
      <formula>5.1</formula>
      <formula>14</formula>
    </cfRule>
    <cfRule type="cellIs" dxfId="11638" priority="20" stopIfTrue="1" operator="between">
      <formula>0</formula>
      <formula>5</formula>
    </cfRule>
    <cfRule type="containsBlanks" dxfId="11637" priority="21" stopIfTrue="1">
      <formula>LEN(TRIM(J92))=0</formula>
    </cfRule>
  </conditionalFormatting>
  <conditionalFormatting sqref="O92:O95">
    <cfRule type="containsBlanks" dxfId="11636" priority="8" stopIfTrue="1">
      <formula>LEN(TRIM(O92))=0</formula>
    </cfRule>
    <cfRule type="cellIs" dxfId="11635" priority="9" stopIfTrue="1" operator="between">
      <formula>80.1</formula>
      <formula>100</formula>
    </cfRule>
    <cfRule type="cellIs" dxfId="11634" priority="10" stopIfTrue="1" operator="between">
      <formula>35.1</formula>
      <formula>80</formula>
    </cfRule>
    <cfRule type="cellIs" dxfId="11633" priority="11" stopIfTrue="1" operator="between">
      <formula>14.1</formula>
      <formula>35</formula>
    </cfRule>
    <cfRule type="cellIs" dxfId="11632" priority="12" stopIfTrue="1" operator="between">
      <formula>5.1</formula>
      <formula>14</formula>
    </cfRule>
    <cfRule type="cellIs" dxfId="11631" priority="13" stopIfTrue="1" operator="between">
      <formula>0</formula>
      <formula>5</formula>
    </cfRule>
    <cfRule type="containsBlanks" dxfId="11630" priority="14" stopIfTrue="1">
      <formula>LEN(TRIM(O92))=0</formula>
    </cfRule>
  </conditionalFormatting>
  <conditionalFormatting sqref="O92:O95">
    <cfRule type="containsBlanks" dxfId="11629" priority="1" stopIfTrue="1">
      <formula>LEN(TRIM(O92))=0</formula>
    </cfRule>
    <cfRule type="cellIs" dxfId="11628" priority="2" stopIfTrue="1" operator="between">
      <formula>80.1</formula>
      <formula>100</formula>
    </cfRule>
    <cfRule type="cellIs" dxfId="11627" priority="3" stopIfTrue="1" operator="between">
      <formula>35.1</formula>
      <formula>80</formula>
    </cfRule>
    <cfRule type="cellIs" dxfId="11626" priority="4" stopIfTrue="1" operator="between">
      <formula>14.1</formula>
      <formula>35</formula>
    </cfRule>
    <cfRule type="cellIs" dxfId="11625" priority="5" stopIfTrue="1" operator="between">
      <formula>5.1</formula>
      <formula>14</formula>
    </cfRule>
    <cfRule type="cellIs" dxfId="11624" priority="6" stopIfTrue="1" operator="between">
      <formula>0</formula>
      <formula>5</formula>
    </cfRule>
    <cfRule type="containsBlanks" dxfId="11623" priority="7" stopIfTrue="1">
      <formula>LEN(TRIM(O92))=0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W750"/>
  <sheetViews>
    <sheetView zoomScale="70" zoomScaleNormal="70" workbookViewId="0">
      <pane xSplit="3" ySplit="10" topLeftCell="D11" activePane="bottomRight" state="frozenSplit"/>
      <selection pane="topRight" activeCell="D1" sqref="D1"/>
      <selection pane="bottomLeft" activeCell="A10" sqref="A10"/>
      <selection pane="bottomRight" activeCell="D23" sqref="D23"/>
    </sheetView>
  </sheetViews>
  <sheetFormatPr baseColWidth="10" defaultColWidth="0" defaultRowHeight="12.75" customHeight="1" zeroHeight="1"/>
  <cols>
    <col min="1" max="1" width="38.28515625" style="35" customWidth="1"/>
    <col min="2" max="2" width="48.140625" style="12" customWidth="1"/>
    <col min="3" max="3" width="68.42578125" style="12" customWidth="1"/>
    <col min="4" max="4" width="24.7109375" style="12" customWidth="1"/>
    <col min="5" max="18" width="10.7109375" style="177" customWidth="1"/>
    <col min="19" max="19" width="42.28515625" style="177" bestFit="1" customWidth="1"/>
    <col min="20" max="20" width="9.85546875" style="177" hidden="1" customWidth="1"/>
    <col min="21" max="16384" width="11.42578125" style="177" hidden="1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4455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19.5" customHeight="1">
      <c r="A5" s="109"/>
      <c r="B5" s="694" t="s">
        <v>4477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6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32" customFormat="1" ht="2.25" customHeight="1">
      <c r="A7" s="697"/>
      <c r="B7" s="697"/>
      <c r="C7" s="42"/>
      <c r="D7" s="9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</row>
    <row r="8" spans="1:23" s="32" customFormat="1" ht="27" customHeight="1">
      <c r="A8" s="392" t="s">
        <v>4342</v>
      </c>
      <c r="B8" s="102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03"/>
    </row>
    <row r="9" spans="1:23" s="10" customFormat="1" ht="18" customHeight="1">
      <c r="A9" s="698" t="s">
        <v>37</v>
      </c>
      <c r="B9" s="696" t="s">
        <v>38</v>
      </c>
      <c r="C9" s="696" t="s">
        <v>254</v>
      </c>
      <c r="D9" s="715" t="s">
        <v>402</v>
      </c>
      <c r="E9" s="705" t="s">
        <v>33</v>
      </c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13" t="s">
        <v>34</v>
      </c>
      <c r="R9" s="713" t="s">
        <v>36</v>
      </c>
      <c r="S9" s="696" t="s">
        <v>35</v>
      </c>
      <c r="T9" s="11"/>
    </row>
    <row r="10" spans="1:23" s="10" customFormat="1" ht="24" customHeight="1">
      <c r="A10" s="722"/>
      <c r="B10" s="715"/>
      <c r="C10" s="715"/>
      <c r="D10" s="716"/>
      <c r="E10" s="176" t="s">
        <v>21</v>
      </c>
      <c r="F10" s="176" t="s">
        <v>22</v>
      </c>
      <c r="G10" s="176" t="s">
        <v>23</v>
      </c>
      <c r="H10" s="176" t="s">
        <v>24</v>
      </c>
      <c r="I10" s="176" t="s">
        <v>25</v>
      </c>
      <c r="J10" s="176" t="s">
        <v>26</v>
      </c>
      <c r="K10" s="176" t="s">
        <v>27</v>
      </c>
      <c r="L10" s="176" t="s">
        <v>28</v>
      </c>
      <c r="M10" s="176" t="s">
        <v>29</v>
      </c>
      <c r="N10" s="176" t="s">
        <v>30</v>
      </c>
      <c r="O10" s="176" t="s">
        <v>31</v>
      </c>
      <c r="P10" s="176" t="s">
        <v>32</v>
      </c>
      <c r="Q10" s="721"/>
      <c r="R10" s="719"/>
      <c r="S10" s="720"/>
      <c r="T10" s="11"/>
    </row>
    <row r="11" spans="1:23" s="10" customFormat="1" ht="32.1" customHeight="1">
      <c r="A11" s="301" t="s">
        <v>122</v>
      </c>
      <c r="B11" s="302" t="s">
        <v>1819</v>
      </c>
      <c r="C11" s="303" t="s">
        <v>1820</v>
      </c>
      <c r="D11" s="346">
        <v>38</v>
      </c>
      <c r="E11" s="47"/>
      <c r="F11" s="47"/>
      <c r="G11" s="47"/>
      <c r="H11" s="47"/>
      <c r="I11" s="47">
        <v>94.3</v>
      </c>
      <c r="J11" s="47"/>
      <c r="K11" s="47"/>
      <c r="L11" s="47"/>
      <c r="M11" s="47"/>
      <c r="N11" s="47"/>
      <c r="O11" s="47"/>
      <c r="P11" s="47"/>
      <c r="Q11" s="306">
        <f t="shared" ref="Q11:Q42" si="0">AVERAGE(E11:P11)</f>
        <v>94.3</v>
      </c>
      <c r="R11" s="307" t="str">
        <f t="shared" ref="R11:R68" si="1">IF(Q11&lt;5,"SI","NO")</f>
        <v>NO</v>
      </c>
      <c r="S11" s="307" t="str">
        <f t="shared" ref="S11:S68" si="2">IF(Q11&lt;=5,"Sin Riesgo",IF(Q11 &lt;=14,"Bajo",IF(Q11&lt;=35,"Medio",IF(Q11&lt;=80,"Alto","Inviable Sanitariamente"))))</f>
        <v>Inviable Sanitariamente</v>
      </c>
      <c r="T11" s="11"/>
    </row>
    <row r="12" spans="1:23" s="56" customFormat="1" ht="32.1" customHeight="1">
      <c r="A12" s="301" t="s">
        <v>122</v>
      </c>
      <c r="B12" s="302" t="s">
        <v>1821</v>
      </c>
      <c r="C12" s="303" t="s">
        <v>1822</v>
      </c>
      <c r="D12" s="346">
        <v>103</v>
      </c>
      <c r="E12" s="47"/>
      <c r="F12" s="47"/>
      <c r="G12" s="47"/>
      <c r="H12" s="47"/>
      <c r="I12" s="47">
        <v>96.4</v>
      </c>
      <c r="J12" s="47"/>
      <c r="K12" s="47"/>
      <c r="L12" s="47"/>
      <c r="M12" s="47">
        <v>94.3</v>
      </c>
      <c r="N12" s="47"/>
      <c r="O12" s="47"/>
      <c r="P12" s="47"/>
      <c r="Q12" s="306">
        <f t="shared" si="0"/>
        <v>95.35</v>
      </c>
      <c r="R12" s="307" t="str">
        <f t="shared" si="1"/>
        <v>NO</v>
      </c>
      <c r="S12" s="307" t="str">
        <f t="shared" si="2"/>
        <v>Inviable Sanitariamente</v>
      </c>
    </row>
    <row r="13" spans="1:23" s="56" customFormat="1" ht="32.1" customHeight="1">
      <c r="A13" s="301" t="s">
        <v>122</v>
      </c>
      <c r="B13" s="302" t="s">
        <v>1264</v>
      </c>
      <c r="C13" s="303" t="s">
        <v>1823</v>
      </c>
      <c r="D13" s="346">
        <v>29</v>
      </c>
      <c r="E13" s="47"/>
      <c r="F13" s="47"/>
      <c r="G13" s="47"/>
      <c r="H13" s="47"/>
      <c r="I13" s="47"/>
      <c r="J13" s="47">
        <v>94.3</v>
      </c>
      <c r="K13" s="47">
        <v>94.3</v>
      </c>
      <c r="L13" s="47"/>
      <c r="M13" s="47"/>
      <c r="N13" s="47"/>
      <c r="O13" s="47"/>
      <c r="P13" s="47"/>
      <c r="Q13" s="306">
        <f t="shared" si="0"/>
        <v>94.3</v>
      </c>
      <c r="R13" s="307" t="str">
        <f t="shared" si="1"/>
        <v>NO</v>
      </c>
      <c r="S13" s="307" t="str">
        <f t="shared" si="2"/>
        <v>Inviable Sanitariamente</v>
      </c>
    </row>
    <row r="14" spans="1:23" s="56" customFormat="1" ht="32.1" customHeight="1">
      <c r="A14" s="301" t="s">
        <v>122</v>
      </c>
      <c r="B14" s="302" t="s">
        <v>1824</v>
      </c>
      <c r="C14" s="303" t="s">
        <v>1825</v>
      </c>
      <c r="D14" s="346">
        <v>78</v>
      </c>
      <c r="E14" s="47"/>
      <c r="F14" s="47">
        <v>97.3</v>
      </c>
      <c r="G14" s="47"/>
      <c r="H14" s="47"/>
      <c r="I14" s="47"/>
      <c r="J14" s="47"/>
      <c r="K14" s="47"/>
      <c r="L14" s="47"/>
      <c r="M14" s="47"/>
      <c r="N14" s="47"/>
      <c r="O14" s="47">
        <v>94.3</v>
      </c>
      <c r="P14" s="47"/>
      <c r="Q14" s="306">
        <f t="shared" si="0"/>
        <v>95.8</v>
      </c>
      <c r="R14" s="307" t="str">
        <f t="shared" si="1"/>
        <v>NO</v>
      </c>
      <c r="S14" s="307" t="str">
        <f t="shared" si="2"/>
        <v>Inviable Sanitariamente</v>
      </c>
    </row>
    <row r="15" spans="1:23" s="56" customFormat="1" ht="32.1" customHeight="1">
      <c r="A15" s="301" t="s">
        <v>122</v>
      </c>
      <c r="B15" s="302" t="s">
        <v>1826</v>
      </c>
      <c r="C15" s="302" t="s">
        <v>1827</v>
      </c>
      <c r="D15" s="410">
        <v>27</v>
      </c>
      <c r="E15" s="339"/>
      <c r="F15" s="339"/>
      <c r="G15" s="339">
        <v>97.3</v>
      </c>
      <c r="H15" s="339"/>
      <c r="I15" s="339"/>
      <c r="J15" s="339"/>
      <c r="K15" s="339"/>
      <c r="L15" s="339"/>
      <c r="M15" s="339"/>
      <c r="N15" s="339"/>
      <c r="O15" s="339"/>
      <c r="P15" s="339">
        <v>96.3</v>
      </c>
      <c r="Q15" s="306">
        <f t="shared" si="0"/>
        <v>96.8</v>
      </c>
      <c r="R15" s="306" t="str">
        <f t="shared" si="1"/>
        <v>NO</v>
      </c>
      <c r="S15" s="307" t="str">
        <f t="shared" si="2"/>
        <v>Inviable Sanitariamente</v>
      </c>
    </row>
    <row r="16" spans="1:23" s="56" customFormat="1" ht="32.1" customHeight="1">
      <c r="A16" s="301" t="s">
        <v>122</v>
      </c>
      <c r="B16" s="302" t="s">
        <v>410</v>
      </c>
      <c r="C16" s="303" t="s">
        <v>1828</v>
      </c>
      <c r="D16" s="346">
        <v>65</v>
      </c>
      <c r="E16" s="47"/>
      <c r="F16" s="47">
        <v>97.3</v>
      </c>
      <c r="G16" s="47"/>
      <c r="H16" s="47"/>
      <c r="I16" s="47"/>
      <c r="J16" s="47"/>
      <c r="K16" s="47"/>
      <c r="L16" s="47">
        <v>94.3</v>
      </c>
      <c r="M16" s="47"/>
      <c r="N16" s="47"/>
      <c r="O16" s="47"/>
      <c r="P16" s="47"/>
      <c r="Q16" s="306">
        <f t="shared" si="0"/>
        <v>95.8</v>
      </c>
      <c r="R16" s="307" t="str">
        <f t="shared" si="1"/>
        <v>NO</v>
      </c>
      <c r="S16" s="307" t="str">
        <f t="shared" si="2"/>
        <v>Inviable Sanitariamente</v>
      </c>
    </row>
    <row r="17" spans="1:19" s="56" customFormat="1" ht="32.1" customHeight="1">
      <c r="A17" s="301" t="s">
        <v>122</v>
      </c>
      <c r="B17" s="302" t="s">
        <v>1113</v>
      </c>
      <c r="C17" s="303" t="s">
        <v>1829</v>
      </c>
      <c r="D17" s="410">
        <v>45</v>
      </c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>
        <v>94.3</v>
      </c>
      <c r="P17" s="339"/>
      <c r="Q17" s="306">
        <f t="shared" si="0"/>
        <v>94.3</v>
      </c>
      <c r="R17" s="306" t="str">
        <f t="shared" si="1"/>
        <v>NO</v>
      </c>
      <c r="S17" s="307" t="str">
        <f t="shared" si="2"/>
        <v>Inviable Sanitariamente</v>
      </c>
    </row>
    <row r="18" spans="1:19" s="56" customFormat="1" ht="32.1" customHeight="1">
      <c r="A18" s="301" t="s">
        <v>122</v>
      </c>
      <c r="B18" s="302" t="s">
        <v>1830</v>
      </c>
      <c r="C18" s="303" t="s">
        <v>1831</v>
      </c>
      <c r="D18" s="399">
        <v>70</v>
      </c>
      <c r="E18" s="47"/>
      <c r="F18" s="47">
        <v>97.3</v>
      </c>
      <c r="G18" s="47"/>
      <c r="H18" s="47"/>
      <c r="I18" s="47"/>
      <c r="J18" s="47"/>
      <c r="K18" s="47"/>
      <c r="L18" s="47"/>
      <c r="M18" s="47">
        <v>96.4</v>
      </c>
      <c r="N18" s="47"/>
      <c r="O18" s="47"/>
      <c r="P18" s="47"/>
      <c r="Q18" s="306">
        <f t="shared" si="0"/>
        <v>96.85</v>
      </c>
      <c r="R18" s="307" t="str">
        <f t="shared" si="1"/>
        <v>NO</v>
      </c>
      <c r="S18" s="307" t="str">
        <f t="shared" si="2"/>
        <v>Inviable Sanitariamente</v>
      </c>
    </row>
    <row r="19" spans="1:19" s="56" customFormat="1" ht="32.1" customHeight="1">
      <c r="A19" s="301" t="s">
        <v>122</v>
      </c>
      <c r="B19" s="302" t="s">
        <v>1832</v>
      </c>
      <c r="C19" s="302" t="s">
        <v>1833</v>
      </c>
      <c r="D19" s="346">
        <v>25</v>
      </c>
      <c r="E19" s="47"/>
      <c r="F19" s="47"/>
      <c r="G19" s="47">
        <v>97.3</v>
      </c>
      <c r="H19" s="47"/>
      <c r="I19" s="47"/>
      <c r="J19" s="47"/>
      <c r="K19" s="47"/>
      <c r="L19" s="47"/>
      <c r="M19" s="47"/>
      <c r="N19" s="47"/>
      <c r="O19" s="47"/>
      <c r="P19" s="47"/>
      <c r="Q19" s="306">
        <f t="shared" si="0"/>
        <v>97.3</v>
      </c>
      <c r="R19" s="307" t="str">
        <f t="shared" si="1"/>
        <v>NO</v>
      </c>
      <c r="S19" s="307" t="str">
        <f t="shared" si="2"/>
        <v>Inviable Sanitariamente</v>
      </c>
    </row>
    <row r="20" spans="1:19" s="180" customFormat="1" ht="32.1" customHeight="1">
      <c r="A20" s="301" t="s">
        <v>122</v>
      </c>
      <c r="B20" s="302" t="s">
        <v>1834</v>
      </c>
      <c r="C20" s="303" t="s">
        <v>1835</v>
      </c>
      <c r="D20" s="346">
        <v>45</v>
      </c>
      <c r="E20" s="47"/>
      <c r="F20" s="47"/>
      <c r="G20" s="47">
        <v>97.3</v>
      </c>
      <c r="H20" s="47"/>
      <c r="I20" s="47"/>
      <c r="J20" s="47"/>
      <c r="K20" s="47"/>
      <c r="L20" s="47"/>
      <c r="M20" s="47"/>
      <c r="N20" s="47"/>
      <c r="O20" s="47">
        <v>94.3</v>
      </c>
      <c r="P20" s="47"/>
      <c r="Q20" s="306">
        <f t="shared" si="0"/>
        <v>95.8</v>
      </c>
      <c r="R20" s="307" t="str">
        <f t="shared" si="1"/>
        <v>NO</v>
      </c>
      <c r="S20" s="307" t="str">
        <f t="shared" si="2"/>
        <v>Inviable Sanitariamente</v>
      </c>
    </row>
    <row r="21" spans="1:19" s="180" customFormat="1" ht="32.1" customHeight="1">
      <c r="A21" s="301" t="s">
        <v>122</v>
      </c>
      <c r="B21" s="302" t="s">
        <v>1836</v>
      </c>
      <c r="C21" s="303" t="s">
        <v>1837</v>
      </c>
      <c r="D21" s="399">
        <v>346</v>
      </c>
      <c r="E21" s="47"/>
      <c r="F21" s="47"/>
      <c r="G21" s="47"/>
      <c r="H21" s="47"/>
      <c r="I21" s="47">
        <v>94.3</v>
      </c>
      <c r="J21" s="47"/>
      <c r="K21" s="47">
        <v>94.3</v>
      </c>
      <c r="L21" s="47">
        <v>0</v>
      </c>
      <c r="M21" s="47"/>
      <c r="N21" s="47"/>
      <c r="O21" s="47">
        <v>94.3</v>
      </c>
      <c r="P21" s="47"/>
      <c r="Q21" s="306">
        <f t="shared" si="0"/>
        <v>70.724999999999994</v>
      </c>
      <c r="R21" s="307" t="str">
        <f t="shared" si="1"/>
        <v>NO</v>
      </c>
      <c r="S21" s="307" t="str">
        <f t="shared" si="2"/>
        <v>Alto</v>
      </c>
    </row>
    <row r="22" spans="1:19" s="180" customFormat="1" ht="32.1" customHeight="1">
      <c r="A22" s="301" t="s">
        <v>122</v>
      </c>
      <c r="B22" s="302" t="s">
        <v>1838</v>
      </c>
      <c r="C22" s="303" t="s">
        <v>1839</v>
      </c>
      <c r="D22" s="410">
        <v>25</v>
      </c>
      <c r="E22" s="339"/>
      <c r="F22" s="339">
        <v>70.900000000000006</v>
      </c>
      <c r="G22" s="339"/>
      <c r="H22" s="339"/>
      <c r="I22" s="339"/>
      <c r="J22" s="339"/>
      <c r="K22" s="339"/>
      <c r="L22" s="339">
        <v>94.3</v>
      </c>
      <c r="M22" s="339"/>
      <c r="N22" s="339"/>
      <c r="O22" s="339"/>
      <c r="P22" s="339"/>
      <c r="Q22" s="306">
        <f t="shared" si="0"/>
        <v>82.6</v>
      </c>
      <c r="R22" s="306" t="str">
        <f t="shared" si="1"/>
        <v>NO</v>
      </c>
      <c r="S22" s="307" t="str">
        <f t="shared" si="2"/>
        <v>Inviable Sanitariamente</v>
      </c>
    </row>
    <row r="23" spans="1:19" s="180" customFormat="1" ht="32.1" customHeight="1">
      <c r="A23" s="301" t="s">
        <v>122</v>
      </c>
      <c r="B23" s="302" t="s">
        <v>1840</v>
      </c>
      <c r="C23" s="302" t="s">
        <v>1841</v>
      </c>
      <c r="D23" s="346">
        <v>300</v>
      </c>
      <c r="E23" s="47">
        <v>64</v>
      </c>
      <c r="F23" s="47"/>
      <c r="G23" s="47"/>
      <c r="H23" s="47"/>
      <c r="I23" s="47">
        <v>94.3</v>
      </c>
      <c r="J23" s="47"/>
      <c r="K23" s="47"/>
      <c r="L23" s="47"/>
      <c r="M23" s="47"/>
      <c r="N23" s="47">
        <v>94.3</v>
      </c>
      <c r="O23" s="47"/>
      <c r="P23" s="47"/>
      <c r="Q23" s="306">
        <f t="shared" si="0"/>
        <v>84.2</v>
      </c>
      <c r="R23" s="307" t="str">
        <f t="shared" si="1"/>
        <v>NO</v>
      </c>
      <c r="S23" s="307" t="str">
        <f t="shared" si="2"/>
        <v>Inviable Sanitariamente</v>
      </c>
    </row>
    <row r="24" spans="1:19" s="180" customFormat="1" ht="32.1" customHeight="1">
      <c r="A24" s="301" t="s">
        <v>122</v>
      </c>
      <c r="B24" s="302" t="s">
        <v>1842</v>
      </c>
      <c r="C24" s="303" t="s">
        <v>1843</v>
      </c>
      <c r="D24" s="399">
        <v>22</v>
      </c>
      <c r="E24" s="47"/>
      <c r="F24" s="47"/>
      <c r="G24" s="47"/>
      <c r="H24" s="47"/>
      <c r="I24" s="47"/>
      <c r="J24" s="47">
        <v>94.3</v>
      </c>
      <c r="K24" s="47"/>
      <c r="L24" s="47"/>
      <c r="M24" s="47"/>
      <c r="N24" s="47"/>
      <c r="O24" s="47"/>
      <c r="P24" s="47"/>
      <c r="Q24" s="306">
        <f t="shared" si="0"/>
        <v>94.3</v>
      </c>
      <c r="R24" s="307" t="str">
        <f t="shared" si="1"/>
        <v>NO</v>
      </c>
      <c r="S24" s="307" t="str">
        <f t="shared" si="2"/>
        <v>Inviable Sanitariamente</v>
      </c>
    </row>
    <row r="25" spans="1:19" s="180" customFormat="1" ht="32.1" customHeight="1">
      <c r="A25" s="301" t="s">
        <v>122</v>
      </c>
      <c r="B25" s="302" t="s">
        <v>1844</v>
      </c>
      <c r="C25" s="303" t="s">
        <v>1845</v>
      </c>
      <c r="D25" s="346">
        <v>400</v>
      </c>
      <c r="E25" s="47"/>
      <c r="F25" s="47"/>
      <c r="G25" s="47"/>
      <c r="H25" s="47">
        <v>53.1</v>
      </c>
      <c r="I25" s="47"/>
      <c r="J25" s="47"/>
      <c r="K25" s="47"/>
      <c r="L25" s="47"/>
      <c r="M25" s="47">
        <v>94.3</v>
      </c>
      <c r="N25" s="47"/>
      <c r="O25" s="47"/>
      <c r="P25" s="47"/>
      <c r="Q25" s="306">
        <f t="shared" si="0"/>
        <v>73.7</v>
      </c>
      <c r="R25" s="307" t="str">
        <f t="shared" si="1"/>
        <v>NO</v>
      </c>
      <c r="S25" s="307" t="str">
        <f t="shared" si="2"/>
        <v>Alto</v>
      </c>
    </row>
    <row r="26" spans="1:19" s="180" customFormat="1" ht="32.1" customHeight="1">
      <c r="A26" s="301" t="s">
        <v>122</v>
      </c>
      <c r="B26" s="302" t="s">
        <v>1846</v>
      </c>
      <c r="C26" s="303" t="s">
        <v>1847</v>
      </c>
      <c r="D26" s="346">
        <v>350</v>
      </c>
      <c r="E26" s="47">
        <v>64</v>
      </c>
      <c r="F26" s="47"/>
      <c r="G26" s="47"/>
      <c r="H26" s="47"/>
      <c r="I26" s="47">
        <v>94.3</v>
      </c>
      <c r="J26" s="47"/>
      <c r="K26" s="47">
        <v>94.3</v>
      </c>
      <c r="L26" s="47"/>
      <c r="M26" s="47"/>
      <c r="N26" s="47"/>
      <c r="O26" s="47">
        <v>94.3</v>
      </c>
      <c r="P26" s="47"/>
      <c r="Q26" s="306">
        <f t="shared" si="0"/>
        <v>86.725000000000009</v>
      </c>
      <c r="R26" s="307" t="str">
        <f t="shared" si="1"/>
        <v>NO</v>
      </c>
      <c r="S26" s="307" t="str">
        <f t="shared" si="2"/>
        <v>Inviable Sanitariamente</v>
      </c>
    </row>
    <row r="27" spans="1:19" s="180" customFormat="1" ht="32.1" customHeight="1">
      <c r="A27" s="301" t="s">
        <v>122</v>
      </c>
      <c r="B27" s="302" t="s">
        <v>949</v>
      </c>
      <c r="C27" s="303" t="s">
        <v>1848</v>
      </c>
      <c r="D27" s="410">
        <v>19</v>
      </c>
      <c r="E27" s="339"/>
      <c r="F27" s="339"/>
      <c r="G27" s="339"/>
      <c r="H27" s="339">
        <v>97.3</v>
      </c>
      <c r="I27" s="339"/>
      <c r="J27" s="339"/>
      <c r="K27" s="339"/>
      <c r="L27" s="339"/>
      <c r="M27" s="339">
        <v>94.3</v>
      </c>
      <c r="N27" s="339"/>
      <c r="O27" s="339"/>
      <c r="P27" s="339"/>
      <c r="Q27" s="306">
        <f t="shared" si="0"/>
        <v>95.8</v>
      </c>
      <c r="R27" s="306" t="str">
        <f t="shared" si="1"/>
        <v>NO</v>
      </c>
      <c r="S27" s="307" t="str">
        <f t="shared" si="2"/>
        <v>Inviable Sanitariamente</v>
      </c>
    </row>
    <row r="28" spans="1:19" s="180" customFormat="1" ht="32.1" customHeight="1">
      <c r="A28" s="301" t="s">
        <v>122</v>
      </c>
      <c r="B28" s="302" t="s">
        <v>1849</v>
      </c>
      <c r="C28" s="303" t="s">
        <v>1850</v>
      </c>
      <c r="D28" s="346">
        <v>52</v>
      </c>
      <c r="E28" s="47"/>
      <c r="F28" s="47"/>
      <c r="G28" s="390"/>
      <c r="H28" s="47"/>
      <c r="I28" s="47">
        <v>96.1</v>
      </c>
      <c r="J28" s="47"/>
      <c r="K28" s="47"/>
      <c r="L28" s="47"/>
      <c r="M28" s="47"/>
      <c r="N28" s="47"/>
      <c r="O28" s="47">
        <v>94.3</v>
      </c>
      <c r="P28" s="47"/>
      <c r="Q28" s="306">
        <f t="shared" si="0"/>
        <v>95.199999999999989</v>
      </c>
      <c r="R28" s="307" t="str">
        <f t="shared" si="1"/>
        <v>NO</v>
      </c>
      <c r="S28" s="307" t="str">
        <f t="shared" si="2"/>
        <v>Inviable Sanitariamente</v>
      </c>
    </row>
    <row r="29" spans="1:19" s="180" customFormat="1" ht="32.1" customHeight="1">
      <c r="A29" s="301" t="s">
        <v>122</v>
      </c>
      <c r="B29" s="302" t="s">
        <v>1851</v>
      </c>
      <c r="C29" s="303" t="s">
        <v>1852</v>
      </c>
      <c r="D29" s="410">
        <v>503</v>
      </c>
      <c r="E29" s="339">
        <v>0</v>
      </c>
      <c r="F29" s="339">
        <v>0</v>
      </c>
      <c r="G29" s="339">
        <v>0</v>
      </c>
      <c r="H29" s="339">
        <v>0</v>
      </c>
      <c r="I29" s="339">
        <v>27.1</v>
      </c>
      <c r="J29" s="339">
        <v>27.1</v>
      </c>
      <c r="K29" s="339">
        <v>0</v>
      </c>
      <c r="L29" s="339">
        <v>27.1</v>
      </c>
      <c r="M29" s="339">
        <v>27.1</v>
      </c>
      <c r="N29" s="339">
        <v>0</v>
      </c>
      <c r="O29" s="339">
        <v>0</v>
      </c>
      <c r="P29" s="339">
        <v>19.3</v>
      </c>
      <c r="Q29" s="306">
        <f t="shared" si="0"/>
        <v>10.641666666666667</v>
      </c>
      <c r="R29" s="306" t="str">
        <f t="shared" si="1"/>
        <v>NO</v>
      </c>
      <c r="S29" s="307" t="str">
        <f t="shared" si="2"/>
        <v>Bajo</v>
      </c>
    </row>
    <row r="30" spans="1:19" s="180" customFormat="1" ht="32.1" customHeight="1">
      <c r="A30" s="301" t="s">
        <v>122</v>
      </c>
      <c r="B30" s="302" t="s">
        <v>1853</v>
      </c>
      <c r="C30" s="303" t="s">
        <v>1854</v>
      </c>
      <c r="D30" s="346">
        <v>50</v>
      </c>
      <c r="E30" s="47"/>
      <c r="F30" s="47"/>
      <c r="G30" s="47"/>
      <c r="H30" s="47"/>
      <c r="I30" s="47"/>
      <c r="J30" s="47"/>
      <c r="K30" s="47">
        <v>96.4</v>
      </c>
      <c r="L30" s="47"/>
      <c r="M30" s="47"/>
      <c r="N30" s="47"/>
      <c r="O30" s="47"/>
      <c r="P30" s="47"/>
      <c r="Q30" s="306">
        <f t="shared" si="0"/>
        <v>96.4</v>
      </c>
      <c r="R30" s="307" t="str">
        <f t="shared" si="1"/>
        <v>NO</v>
      </c>
      <c r="S30" s="307" t="str">
        <f t="shared" si="2"/>
        <v>Inviable Sanitariamente</v>
      </c>
    </row>
    <row r="31" spans="1:19" s="180" customFormat="1" ht="32.1" customHeight="1">
      <c r="A31" s="301" t="s">
        <v>122</v>
      </c>
      <c r="B31" s="302" t="s">
        <v>1855</v>
      </c>
      <c r="C31" s="303" t="s">
        <v>1856</v>
      </c>
      <c r="D31" s="346">
        <v>19</v>
      </c>
      <c r="E31" s="47"/>
      <c r="F31" s="47"/>
      <c r="G31" s="47"/>
      <c r="H31" s="47"/>
      <c r="I31" s="47">
        <v>94.3</v>
      </c>
      <c r="J31" s="47"/>
      <c r="K31" s="47"/>
      <c r="L31" s="47"/>
      <c r="M31" s="47"/>
      <c r="N31" s="47"/>
      <c r="O31" s="47"/>
      <c r="P31" s="47"/>
      <c r="Q31" s="306">
        <f t="shared" si="0"/>
        <v>94.3</v>
      </c>
      <c r="R31" s="307" t="str">
        <f t="shared" si="1"/>
        <v>NO</v>
      </c>
      <c r="S31" s="307" t="str">
        <f t="shared" si="2"/>
        <v>Inviable Sanitariamente</v>
      </c>
    </row>
    <row r="32" spans="1:19" s="180" customFormat="1" ht="32.1" customHeight="1">
      <c r="A32" s="301" t="s">
        <v>122</v>
      </c>
      <c r="B32" s="302" t="s">
        <v>583</v>
      </c>
      <c r="C32" s="303" t="s">
        <v>1857</v>
      </c>
      <c r="D32" s="410">
        <v>28</v>
      </c>
      <c r="E32" s="339"/>
      <c r="F32" s="339"/>
      <c r="G32" s="339"/>
      <c r="H32" s="339"/>
      <c r="I32" s="339"/>
      <c r="J32" s="339"/>
      <c r="K32" s="339">
        <v>94.3</v>
      </c>
      <c r="L32" s="339"/>
      <c r="M32" s="339"/>
      <c r="N32" s="339"/>
      <c r="O32" s="339">
        <v>94.3</v>
      </c>
      <c r="P32" s="339"/>
      <c r="Q32" s="306">
        <f t="shared" si="0"/>
        <v>94.3</v>
      </c>
      <c r="R32" s="306" t="str">
        <f t="shared" si="1"/>
        <v>NO</v>
      </c>
      <c r="S32" s="307" t="str">
        <f t="shared" si="2"/>
        <v>Inviable Sanitariamente</v>
      </c>
    </row>
    <row r="33" spans="1:19" s="180" customFormat="1" ht="32.1" customHeight="1">
      <c r="A33" s="301" t="s">
        <v>122</v>
      </c>
      <c r="B33" s="302" t="s">
        <v>1858</v>
      </c>
      <c r="C33" s="303" t="s">
        <v>1859</v>
      </c>
      <c r="D33" s="346">
        <v>32</v>
      </c>
      <c r="E33" s="47"/>
      <c r="F33" s="47"/>
      <c r="G33" s="47"/>
      <c r="H33" s="47"/>
      <c r="I33" s="47"/>
      <c r="J33" s="47">
        <v>94.3</v>
      </c>
      <c r="K33" s="47"/>
      <c r="L33" s="47"/>
      <c r="M33" s="47"/>
      <c r="N33" s="47"/>
      <c r="O33" s="47"/>
      <c r="P33" s="47"/>
      <c r="Q33" s="306">
        <f t="shared" si="0"/>
        <v>94.3</v>
      </c>
      <c r="R33" s="307" t="str">
        <f t="shared" si="1"/>
        <v>NO</v>
      </c>
      <c r="S33" s="307" t="str">
        <f t="shared" si="2"/>
        <v>Inviable Sanitariamente</v>
      </c>
    </row>
    <row r="34" spans="1:19" s="180" customFormat="1" ht="32.1" customHeight="1">
      <c r="A34" s="301" t="s">
        <v>122</v>
      </c>
      <c r="B34" s="302" t="s">
        <v>1860</v>
      </c>
      <c r="C34" s="303" t="s">
        <v>1861</v>
      </c>
      <c r="D34" s="346">
        <v>165</v>
      </c>
      <c r="E34" s="47"/>
      <c r="F34" s="47"/>
      <c r="G34" s="47"/>
      <c r="H34" s="47"/>
      <c r="I34" s="47">
        <v>64</v>
      </c>
      <c r="J34" s="47"/>
      <c r="K34" s="47"/>
      <c r="L34" s="47"/>
      <c r="M34" s="47"/>
      <c r="N34" s="47">
        <v>94.3</v>
      </c>
      <c r="O34" s="47"/>
      <c r="P34" s="47"/>
      <c r="Q34" s="306">
        <f t="shared" si="0"/>
        <v>79.150000000000006</v>
      </c>
      <c r="R34" s="307" t="str">
        <f t="shared" si="1"/>
        <v>NO</v>
      </c>
      <c r="S34" s="307" t="str">
        <f t="shared" si="2"/>
        <v>Alto</v>
      </c>
    </row>
    <row r="35" spans="1:19" s="56" customFormat="1" ht="32.1" customHeight="1">
      <c r="A35" s="404" t="s">
        <v>123</v>
      </c>
      <c r="B35" s="302" t="s">
        <v>3397</v>
      </c>
      <c r="C35" s="302" t="s">
        <v>3398</v>
      </c>
      <c r="D35" s="346">
        <v>113</v>
      </c>
      <c r="E35" s="47"/>
      <c r="F35" s="47"/>
      <c r="G35" s="47">
        <v>53.1</v>
      </c>
      <c r="H35" s="47"/>
      <c r="I35" s="47">
        <v>97.35</v>
      </c>
      <c r="J35" s="47"/>
      <c r="K35" s="47"/>
      <c r="L35" s="47"/>
      <c r="M35" s="47"/>
      <c r="N35" s="47"/>
      <c r="O35" s="47"/>
      <c r="P35" s="47"/>
      <c r="Q35" s="309">
        <f t="shared" si="0"/>
        <v>75.224999999999994</v>
      </c>
      <c r="R35" s="310" t="str">
        <f t="shared" si="1"/>
        <v>NO</v>
      </c>
      <c r="S35" s="307" t="str">
        <f t="shared" si="2"/>
        <v>Alto</v>
      </c>
    </row>
    <row r="36" spans="1:19" s="56" customFormat="1" ht="32.1" customHeight="1">
      <c r="A36" s="404" t="s">
        <v>123</v>
      </c>
      <c r="B36" s="302" t="s">
        <v>1146</v>
      </c>
      <c r="C36" s="302" t="s">
        <v>3399</v>
      </c>
      <c r="D36" s="346">
        <v>52</v>
      </c>
      <c r="E36" s="47"/>
      <c r="F36" s="47"/>
      <c r="G36" s="47"/>
      <c r="H36" s="47"/>
      <c r="I36" s="47"/>
      <c r="J36" s="47">
        <v>97.35</v>
      </c>
      <c r="K36" s="47"/>
      <c r="L36" s="47"/>
      <c r="M36" s="47"/>
      <c r="N36" s="47"/>
      <c r="O36" s="47"/>
      <c r="P36" s="47"/>
      <c r="Q36" s="306">
        <f t="shared" si="0"/>
        <v>97.35</v>
      </c>
      <c r="R36" s="307" t="str">
        <f t="shared" si="1"/>
        <v>NO</v>
      </c>
      <c r="S36" s="307" t="str">
        <f t="shared" si="2"/>
        <v>Inviable Sanitariamente</v>
      </c>
    </row>
    <row r="37" spans="1:19" s="56" customFormat="1" ht="32.1" customHeight="1">
      <c r="A37" s="562" t="s">
        <v>123</v>
      </c>
      <c r="B37" s="563" t="s">
        <v>3400</v>
      </c>
      <c r="C37" s="563" t="s">
        <v>3401</v>
      </c>
      <c r="D37" s="304">
        <v>58</v>
      </c>
      <c r="E37" s="308"/>
      <c r="F37" s="305"/>
      <c r="G37" s="305"/>
      <c r="H37" s="305"/>
      <c r="I37" s="305"/>
      <c r="J37" s="305">
        <v>97.4</v>
      </c>
      <c r="K37" s="305"/>
      <c r="L37" s="305"/>
      <c r="M37" s="305"/>
      <c r="N37" s="305"/>
      <c r="O37" s="305"/>
      <c r="P37" s="305"/>
      <c r="Q37" s="306">
        <f t="shared" si="0"/>
        <v>97.4</v>
      </c>
      <c r="R37" s="307" t="str">
        <f t="shared" si="1"/>
        <v>NO</v>
      </c>
      <c r="S37" s="307" t="str">
        <f t="shared" si="2"/>
        <v>Inviable Sanitariamente</v>
      </c>
    </row>
    <row r="38" spans="1:19" s="56" customFormat="1" ht="32.1" customHeight="1">
      <c r="A38" s="562" t="s">
        <v>123</v>
      </c>
      <c r="B38" s="563" t="s">
        <v>3402</v>
      </c>
      <c r="C38" s="563" t="s">
        <v>3403</v>
      </c>
      <c r="D38" s="304">
        <v>48</v>
      </c>
      <c r="E38" s="308"/>
      <c r="F38" s="305"/>
      <c r="G38" s="305"/>
      <c r="H38" s="305"/>
      <c r="I38" s="305"/>
      <c r="J38" s="305">
        <v>97.4</v>
      </c>
      <c r="K38" s="305"/>
      <c r="L38" s="305"/>
      <c r="M38" s="305"/>
      <c r="N38" s="305"/>
      <c r="O38" s="305"/>
      <c r="P38" s="305"/>
      <c r="Q38" s="306">
        <f t="shared" si="0"/>
        <v>97.4</v>
      </c>
      <c r="R38" s="307" t="str">
        <f t="shared" si="1"/>
        <v>NO</v>
      </c>
      <c r="S38" s="307" t="str">
        <f t="shared" si="2"/>
        <v>Inviable Sanitariamente</v>
      </c>
    </row>
    <row r="39" spans="1:19" s="56" customFormat="1" ht="32.1" customHeight="1">
      <c r="A39" s="564" t="s">
        <v>123</v>
      </c>
      <c r="B39" s="563" t="s">
        <v>779</v>
      </c>
      <c r="C39" s="563" t="s">
        <v>3404</v>
      </c>
      <c r="D39" s="304">
        <v>63</v>
      </c>
      <c r="E39" s="395"/>
      <c r="F39" s="395"/>
      <c r="G39" s="395"/>
      <c r="H39" s="395"/>
      <c r="I39" s="305">
        <v>2.65</v>
      </c>
      <c r="J39" s="395"/>
      <c r="K39" s="395"/>
      <c r="L39" s="395"/>
      <c r="M39" s="395"/>
      <c r="N39" s="395"/>
      <c r="O39" s="395"/>
      <c r="P39" s="395"/>
      <c r="Q39" s="306">
        <f t="shared" si="0"/>
        <v>2.65</v>
      </c>
      <c r="R39" s="307" t="str">
        <f t="shared" si="1"/>
        <v>SI</v>
      </c>
      <c r="S39" s="307" t="str">
        <f t="shared" si="2"/>
        <v>Sin Riesgo</v>
      </c>
    </row>
    <row r="40" spans="1:19" s="56" customFormat="1" ht="32.1" customHeight="1">
      <c r="A40" s="562" t="s">
        <v>123</v>
      </c>
      <c r="B40" s="563" t="s">
        <v>3405</v>
      </c>
      <c r="C40" s="563" t="s">
        <v>3406</v>
      </c>
      <c r="D40" s="304">
        <v>74</v>
      </c>
      <c r="E40" s="308"/>
      <c r="F40" s="305"/>
      <c r="G40" s="305"/>
      <c r="H40" s="305"/>
      <c r="I40" s="305"/>
      <c r="J40" s="305"/>
      <c r="K40" s="305"/>
      <c r="L40" s="305"/>
      <c r="M40" s="305">
        <v>97.4</v>
      </c>
      <c r="N40" s="305"/>
      <c r="O40" s="305"/>
      <c r="P40" s="305"/>
      <c r="Q40" s="309">
        <f t="shared" si="0"/>
        <v>97.4</v>
      </c>
      <c r="R40" s="310" t="str">
        <f t="shared" si="1"/>
        <v>NO</v>
      </c>
      <c r="S40" s="307" t="str">
        <f t="shared" si="2"/>
        <v>Inviable Sanitariamente</v>
      </c>
    </row>
    <row r="41" spans="1:19" s="56" customFormat="1" ht="32.1" customHeight="1">
      <c r="A41" s="562" t="s">
        <v>123</v>
      </c>
      <c r="B41" s="563" t="s">
        <v>3407</v>
      </c>
      <c r="C41" s="563" t="s">
        <v>3408</v>
      </c>
      <c r="D41" s="304">
        <v>62</v>
      </c>
      <c r="E41" s="308"/>
      <c r="F41" s="305"/>
      <c r="G41" s="305"/>
      <c r="H41" s="305"/>
      <c r="I41" s="305"/>
      <c r="J41" s="305"/>
      <c r="K41" s="305"/>
      <c r="L41" s="305"/>
      <c r="M41" s="305">
        <v>97.4</v>
      </c>
      <c r="N41" s="305"/>
      <c r="O41" s="305"/>
      <c r="P41" s="305"/>
      <c r="Q41" s="309">
        <f t="shared" si="0"/>
        <v>97.4</v>
      </c>
      <c r="R41" s="310" t="str">
        <f t="shared" si="1"/>
        <v>NO</v>
      </c>
      <c r="S41" s="307" t="str">
        <f t="shared" si="2"/>
        <v>Inviable Sanitariamente</v>
      </c>
    </row>
    <row r="42" spans="1:19" s="56" customFormat="1" ht="32.1" customHeight="1">
      <c r="A42" s="562" t="s">
        <v>123</v>
      </c>
      <c r="B42" s="563" t="s">
        <v>3409</v>
      </c>
      <c r="C42" s="563" t="s">
        <v>3410</v>
      </c>
      <c r="D42" s="304">
        <v>140</v>
      </c>
      <c r="E42" s="308"/>
      <c r="F42" s="305"/>
      <c r="G42" s="305"/>
      <c r="H42" s="305"/>
      <c r="I42" s="305"/>
      <c r="J42" s="305">
        <v>97.4</v>
      </c>
      <c r="K42" s="305"/>
      <c r="L42" s="305"/>
      <c r="M42" s="305"/>
      <c r="N42" s="305"/>
      <c r="O42" s="305"/>
      <c r="P42" s="305"/>
      <c r="Q42" s="309">
        <f t="shared" si="0"/>
        <v>97.4</v>
      </c>
      <c r="R42" s="310" t="str">
        <f t="shared" si="1"/>
        <v>NO</v>
      </c>
      <c r="S42" s="307" t="str">
        <f t="shared" si="2"/>
        <v>Inviable Sanitariamente</v>
      </c>
    </row>
    <row r="43" spans="1:19" s="56" customFormat="1" ht="32.1" customHeight="1">
      <c r="A43" s="562" t="s">
        <v>123</v>
      </c>
      <c r="B43" s="563" t="s">
        <v>1181</v>
      </c>
      <c r="C43" s="563" t="s">
        <v>3411</v>
      </c>
      <c r="D43" s="304">
        <v>51</v>
      </c>
      <c r="E43" s="308"/>
      <c r="F43" s="305"/>
      <c r="G43" s="305"/>
      <c r="H43" s="305"/>
      <c r="I43" s="305"/>
      <c r="J43" s="305">
        <v>97.36</v>
      </c>
      <c r="K43" s="305"/>
      <c r="L43" s="305"/>
      <c r="M43" s="305"/>
      <c r="N43" s="305"/>
      <c r="O43" s="305"/>
      <c r="P43" s="305"/>
      <c r="Q43" s="309">
        <f t="shared" ref="Q43:Q68" si="3">AVERAGE(E43:P43)</f>
        <v>97.36</v>
      </c>
      <c r="R43" s="310" t="str">
        <f t="shared" si="1"/>
        <v>NO</v>
      </c>
      <c r="S43" s="307" t="str">
        <f t="shared" si="2"/>
        <v>Inviable Sanitariamente</v>
      </c>
    </row>
    <row r="44" spans="1:19" s="56" customFormat="1" ht="32.1" customHeight="1">
      <c r="A44" s="404" t="s">
        <v>124</v>
      </c>
      <c r="B44" s="302" t="s">
        <v>1368</v>
      </c>
      <c r="C44" s="303" t="s">
        <v>3412</v>
      </c>
      <c r="D44" s="411">
        <v>36</v>
      </c>
      <c r="E44" s="407"/>
      <c r="F44" s="414"/>
      <c r="G44" s="47"/>
      <c r="H44" s="407">
        <v>73.45</v>
      </c>
      <c r="I44" s="415"/>
      <c r="J44" s="407"/>
      <c r="K44" s="407"/>
      <c r="L44" s="407"/>
      <c r="M44" s="407"/>
      <c r="N44" s="407"/>
      <c r="O44" s="407">
        <v>70.8</v>
      </c>
      <c r="P44" s="407"/>
      <c r="Q44" s="306">
        <f t="shared" si="3"/>
        <v>72.125</v>
      </c>
      <c r="R44" s="307" t="str">
        <f t="shared" si="1"/>
        <v>NO</v>
      </c>
      <c r="S44" s="307" t="str">
        <f t="shared" si="2"/>
        <v>Alto</v>
      </c>
    </row>
    <row r="45" spans="1:19" s="56" customFormat="1" ht="32.1" customHeight="1">
      <c r="A45" s="404" t="s">
        <v>124</v>
      </c>
      <c r="B45" s="302" t="s">
        <v>3413</v>
      </c>
      <c r="C45" s="303" t="s">
        <v>3414</v>
      </c>
      <c r="D45" s="411">
        <v>40</v>
      </c>
      <c r="E45" s="407"/>
      <c r="F45" s="414"/>
      <c r="G45" s="390"/>
      <c r="H45" s="407">
        <v>73.45</v>
      </c>
      <c r="I45" s="407"/>
      <c r="J45" s="407"/>
      <c r="K45" s="407"/>
      <c r="L45" s="407">
        <v>73.45</v>
      </c>
      <c r="M45" s="407"/>
      <c r="N45" s="407"/>
      <c r="O45" s="407">
        <v>75.430000000000007</v>
      </c>
      <c r="P45" s="407"/>
      <c r="Q45" s="306">
        <f t="shared" si="3"/>
        <v>74.11</v>
      </c>
      <c r="R45" s="307" t="str">
        <f t="shared" si="1"/>
        <v>NO</v>
      </c>
      <c r="S45" s="307" t="str">
        <f t="shared" si="2"/>
        <v>Alto</v>
      </c>
    </row>
    <row r="46" spans="1:19" s="56" customFormat="1" ht="32.1" customHeight="1">
      <c r="A46" s="404" t="s">
        <v>124</v>
      </c>
      <c r="B46" s="302" t="s">
        <v>3415</v>
      </c>
      <c r="C46" s="303" t="s">
        <v>3416</v>
      </c>
      <c r="D46" s="411">
        <v>10</v>
      </c>
      <c r="E46" s="407"/>
      <c r="F46" s="414"/>
      <c r="G46" s="390"/>
      <c r="H46" s="415"/>
      <c r="I46" s="407">
        <v>73.45</v>
      </c>
      <c r="J46" s="407"/>
      <c r="K46" s="407"/>
      <c r="L46" s="407"/>
      <c r="M46" s="407"/>
      <c r="N46" s="407"/>
      <c r="O46" s="407"/>
      <c r="P46" s="407">
        <v>70.8</v>
      </c>
      <c r="Q46" s="306">
        <f t="shared" si="3"/>
        <v>72.125</v>
      </c>
      <c r="R46" s="307" t="str">
        <f t="shared" si="1"/>
        <v>NO</v>
      </c>
      <c r="S46" s="307" t="str">
        <f t="shared" si="2"/>
        <v>Alto</v>
      </c>
    </row>
    <row r="47" spans="1:19" s="56" customFormat="1" ht="32.1" customHeight="1">
      <c r="A47" s="404" t="s">
        <v>124</v>
      </c>
      <c r="B47" s="302" t="s">
        <v>3417</v>
      </c>
      <c r="C47" s="303" t="s">
        <v>3418</v>
      </c>
      <c r="D47" s="412">
        <v>15</v>
      </c>
      <c r="E47" s="407"/>
      <c r="F47" s="414"/>
      <c r="G47" s="390"/>
      <c r="H47" s="407">
        <v>73.45</v>
      </c>
      <c r="I47" s="407"/>
      <c r="J47" s="407"/>
      <c r="K47" s="407"/>
      <c r="L47" s="407">
        <v>73.45</v>
      </c>
      <c r="M47" s="407"/>
      <c r="N47" s="407"/>
      <c r="O47" s="407"/>
      <c r="P47" s="407"/>
      <c r="Q47" s="306">
        <f t="shared" si="3"/>
        <v>73.45</v>
      </c>
      <c r="R47" s="307" t="str">
        <f t="shared" si="1"/>
        <v>NO</v>
      </c>
      <c r="S47" s="307" t="str">
        <f t="shared" si="2"/>
        <v>Alto</v>
      </c>
    </row>
    <row r="48" spans="1:19" s="56" customFormat="1" ht="32.1" customHeight="1">
      <c r="A48" s="404" t="s">
        <v>124</v>
      </c>
      <c r="B48" s="302" t="s">
        <v>3419</v>
      </c>
      <c r="C48" s="303" t="s">
        <v>3420</v>
      </c>
      <c r="D48" s="411">
        <v>80</v>
      </c>
      <c r="E48" s="407"/>
      <c r="F48" s="407"/>
      <c r="G48" s="416"/>
      <c r="H48" s="407"/>
      <c r="I48" s="407"/>
      <c r="J48" s="407">
        <v>70.8</v>
      </c>
      <c r="K48" s="407"/>
      <c r="L48" s="407"/>
      <c r="M48" s="407"/>
      <c r="N48" s="407"/>
      <c r="O48" s="407"/>
      <c r="P48" s="407"/>
      <c r="Q48" s="306">
        <f t="shared" si="3"/>
        <v>70.8</v>
      </c>
      <c r="R48" s="307" t="str">
        <f t="shared" si="1"/>
        <v>NO</v>
      </c>
      <c r="S48" s="307" t="str">
        <f t="shared" si="2"/>
        <v>Alto</v>
      </c>
    </row>
    <row r="49" spans="1:19" s="56" customFormat="1" ht="32.1" customHeight="1">
      <c r="A49" s="404" t="s">
        <v>124</v>
      </c>
      <c r="B49" s="302" t="s">
        <v>411</v>
      </c>
      <c r="C49" s="303" t="s">
        <v>3421</v>
      </c>
      <c r="D49" s="411">
        <v>50</v>
      </c>
      <c r="E49" s="407"/>
      <c r="F49" s="407"/>
      <c r="G49" s="415"/>
      <c r="H49" s="407"/>
      <c r="I49" s="407"/>
      <c r="J49" s="407">
        <v>70.8</v>
      </c>
      <c r="K49" s="407"/>
      <c r="L49" s="407"/>
      <c r="M49" s="407"/>
      <c r="N49" s="407"/>
      <c r="O49" s="407"/>
      <c r="P49" s="407"/>
      <c r="Q49" s="306">
        <f t="shared" si="3"/>
        <v>70.8</v>
      </c>
      <c r="R49" s="307" t="str">
        <f t="shared" si="1"/>
        <v>NO</v>
      </c>
      <c r="S49" s="307" t="str">
        <f t="shared" si="2"/>
        <v>Alto</v>
      </c>
    </row>
    <row r="50" spans="1:19" s="56" customFormat="1" ht="32.1" customHeight="1">
      <c r="A50" s="404" t="s">
        <v>124</v>
      </c>
      <c r="B50" s="302" t="s">
        <v>3422</v>
      </c>
      <c r="C50" s="303" t="s">
        <v>3423</v>
      </c>
      <c r="D50" s="413">
        <v>60</v>
      </c>
      <c r="E50" s="407"/>
      <c r="F50" s="407"/>
      <c r="G50" s="407"/>
      <c r="H50" s="407"/>
      <c r="I50" s="407"/>
      <c r="J50" s="407">
        <v>70.8</v>
      </c>
      <c r="K50" s="407"/>
      <c r="L50" s="407"/>
      <c r="M50" s="407"/>
      <c r="N50" s="407">
        <v>70.8</v>
      </c>
      <c r="O50" s="407"/>
      <c r="P50" s="407"/>
      <c r="Q50" s="306">
        <f t="shared" si="3"/>
        <v>70.8</v>
      </c>
      <c r="R50" s="307" t="str">
        <f t="shared" si="1"/>
        <v>NO</v>
      </c>
      <c r="S50" s="307" t="str">
        <f t="shared" si="2"/>
        <v>Alto</v>
      </c>
    </row>
    <row r="51" spans="1:19" s="56" customFormat="1" ht="32.1" customHeight="1">
      <c r="A51" s="404" t="s">
        <v>124</v>
      </c>
      <c r="B51" s="302" t="s">
        <v>292</v>
      </c>
      <c r="C51" s="303" t="s">
        <v>3424</v>
      </c>
      <c r="D51" s="411">
        <v>15</v>
      </c>
      <c r="E51" s="407"/>
      <c r="F51" s="407"/>
      <c r="G51" s="415"/>
      <c r="H51" s="407"/>
      <c r="I51" s="415"/>
      <c r="J51" s="407">
        <v>70.8</v>
      </c>
      <c r="K51" s="407"/>
      <c r="L51" s="407"/>
      <c r="M51" s="407">
        <v>70.8</v>
      </c>
      <c r="N51" s="407"/>
      <c r="O51" s="407"/>
      <c r="P51" s="407"/>
      <c r="Q51" s="306">
        <f t="shared" si="3"/>
        <v>70.8</v>
      </c>
      <c r="R51" s="307" t="str">
        <f t="shared" si="1"/>
        <v>NO</v>
      </c>
      <c r="S51" s="307" t="str">
        <f t="shared" si="2"/>
        <v>Alto</v>
      </c>
    </row>
    <row r="52" spans="1:19" s="56" customFormat="1" ht="32.1" customHeight="1">
      <c r="A52" s="404" t="s">
        <v>124</v>
      </c>
      <c r="B52" s="302" t="s">
        <v>3425</v>
      </c>
      <c r="C52" s="303" t="s">
        <v>3426</v>
      </c>
      <c r="D52" s="411">
        <v>72</v>
      </c>
      <c r="E52" s="407"/>
      <c r="F52" s="407"/>
      <c r="G52" s="415"/>
      <c r="H52" s="417">
        <v>73.45</v>
      </c>
      <c r="I52" s="407"/>
      <c r="J52" s="407"/>
      <c r="K52" s="407"/>
      <c r="L52" s="407"/>
      <c r="M52" s="407">
        <v>73.45</v>
      </c>
      <c r="N52" s="407"/>
      <c r="O52" s="407"/>
      <c r="P52" s="407"/>
      <c r="Q52" s="306">
        <f t="shared" si="3"/>
        <v>73.45</v>
      </c>
      <c r="R52" s="307" t="str">
        <f t="shared" si="1"/>
        <v>NO</v>
      </c>
      <c r="S52" s="307" t="str">
        <f t="shared" si="2"/>
        <v>Alto</v>
      </c>
    </row>
    <row r="53" spans="1:19" s="56" customFormat="1" ht="32.1" customHeight="1">
      <c r="A53" s="404" t="s">
        <v>124</v>
      </c>
      <c r="B53" s="302" t="s">
        <v>3427</v>
      </c>
      <c r="C53" s="303" t="s">
        <v>3428</v>
      </c>
      <c r="D53" s="411">
        <v>75</v>
      </c>
      <c r="E53" s="407"/>
      <c r="F53" s="407"/>
      <c r="G53" s="407"/>
      <c r="H53" s="407">
        <v>73.45</v>
      </c>
      <c r="I53" s="407"/>
      <c r="J53" s="407"/>
      <c r="K53" s="407"/>
      <c r="L53" s="407"/>
      <c r="M53" s="407"/>
      <c r="N53" s="407"/>
      <c r="O53" s="407">
        <v>70.8</v>
      </c>
      <c r="P53" s="407"/>
      <c r="Q53" s="306">
        <f t="shared" si="3"/>
        <v>72.125</v>
      </c>
      <c r="R53" s="307" t="str">
        <f t="shared" si="1"/>
        <v>NO</v>
      </c>
      <c r="S53" s="307" t="str">
        <f t="shared" si="2"/>
        <v>Alto</v>
      </c>
    </row>
    <row r="54" spans="1:19" s="56" customFormat="1" ht="31.5" customHeight="1">
      <c r="A54" s="404" t="s">
        <v>124</v>
      </c>
      <c r="B54" s="302" t="s">
        <v>3429</v>
      </c>
      <c r="C54" s="303" t="s">
        <v>4188</v>
      </c>
      <c r="D54" s="411">
        <v>150</v>
      </c>
      <c r="E54" s="407"/>
      <c r="F54" s="407"/>
      <c r="G54" s="407"/>
      <c r="H54" s="417">
        <v>70.8</v>
      </c>
      <c r="I54" s="407"/>
      <c r="J54" s="407"/>
      <c r="K54" s="407"/>
      <c r="L54" s="407"/>
      <c r="M54" s="407"/>
      <c r="N54" s="407"/>
      <c r="O54" s="407">
        <v>26.55</v>
      </c>
      <c r="P54" s="407"/>
      <c r="Q54" s="306">
        <f t="shared" si="3"/>
        <v>48.674999999999997</v>
      </c>
      <c r="R54" s="307" t="str">
        <f t="shared" si="1"/>
        <v>NO</v>
      </c>
      <c r="S54" s="307" t="str">
        <f t="shared" si="2"/>
        <v>Alto</v>
      </c>
    </row>
    <row r="55" spans="1:19" s="56" customFormat="1" ht="31.5" customHeight="1">
      <c r="A55" s="404" t="s">
        <v>124</v>
      </c>
      <c r="B55" s="302" t="s">
        <v>3973</v>
      </c>
      <c r="C55" s="303" t="s">
        <v>3974</v>
      </c>
      <c r="D55" s="411">
        <v>32</v>
      </c>
      <c r="E55" s="407"/>
      <c r="F55" s="407"/>
      <c r="G55" s="407"/>
      <c r="H55" s="407"/>
      <c r="I55" s="407">
        <v>73.45</v>
      </c>
      <c r="J55" s="407"/>
      <c r="K55" s="407"/>
      <c r="L55" s="407"/>
      <c r="M55" s="407"/>
      <c r="N55" s="407"/>
      <c r="O55" s="407"/>
      <c r="P55" s="407">
        <v>70.8</v>
      </c>
      <c r="Q55" s="306">
        <f t="shared" si="3"/>
        <v>72.125</v>
      </c>
      <c r="R55" s="307" t="str">
        <f>IF(Q55&lt;5,"SI","NO")</f>
        <v>NO</v>
      </c>
      <c r="S55" s="307" t="str">
        <f t="shared" si="2"/>
        <v>Alto</v>
      </c>
    </row>
    <row r="56" spans="1:19" s="56" customFormat="1" ht="32.1" customHeight="1">
      <c r="A56" s="562" t="s">
        <v>125</v>
      </c>
      <c r="B56" s="562" t="s">
        <v>18</v>
      </c>
      <c r="C56" s="562" t="s">
        <v>3911</v>
      </c>
      <c r="D56" s="311">
        <v>48</v>
      </c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6"/>
      <c r="R56" s="307"/>
      <c r="S56" s="307"/>
    </row>
    <row r="57" spans="1:19" s="56" customFormat="1" ht="32.1" customHeight="1">
      <c r="A57" s="562" t="s">
        <v>125</v>
      </c>
      <c r="B57" s="562" t="s">
        <v>76</v>
      </c>
      <c r="C57" s="562" t="s">
        <v>3912</v>
      </c>
      <c r="D57" s="311">
        <v>15</v>
      </c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6"/>
      <c r="R57" s="307"/>
      <c r="S57" s="307"/>
    </row>
    <row r="58" spans="1:19" s="56" customFormat="1" ht="32.1" customHeight="1">
      <c r="A58" s="404" t="s">
        <v>125</v>
      </c>
      <c r="B58" s="301" t="s">
        <v>3430</v>
      </c>
      <c r="C58" s="301" t="s">
        <v>3913</v>
      </c>
      <c r="D58" s="418">
        <v>65</v>
      </c>
      <c r="E58" s="47"/>
      <c r="F58" s="47"/>
      <c r="G58" s="47"/>
      <c r="H58" s="47">
        <v>97.3</v>
      </c>
      <c r="I58" s="47"/>
      <c r="J58" s="47"/>
      <c r="K58" s="47"/>
      <c r="L58" s="47"/>
      <c r="M58" s="47"/>
      <c r="N58" s="47"/>
      <c r="O58" s="47"/>
      <c r="P58" s="47"/>
      <c r="Q58" s="306">
        <f t="shared" si="3"/>
        <v>97.3</v>
      </c>
      <c r="R58" s="307" t="str">
        <f t="shared" si="1"/>
        <v>NO</v>
      </c>
      <c r="S58" s="307" t="str">
        <f t="shared" si="2"/>
        <v>Inviable Sanitariamente</v>
      </c>
    </row>
    <row r="59" spans="1:19" s="56" customFormat="1" ht="32.1" customHeight="1">
      <c r="A59" s="562" t="s">
        <v>125</v>
      </c>
      <c r="B59" s="562" t="s">
        <v>2218</v>
      </c>
      <c r="C59" s="562" t="s">
        <v>3914</v>
      </c>
      <c r="D59" s="311">
        <v>80</v>
      </c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6"/>
      <c r="R59" s="307"/>
      <c r="S59" s="307"/>
    </row>
    <row r="60" spans="1:19" s="56" customFormat="1" ht="32.1" customHeight="1">
      <c r="A60" s="562" t="s">
        <v>125</v>
      </c>
      <c r="B60" s="562" t="s">
        <v>3431</v>
      </c>
      <c r="C60" s="562" t="s">
        <v>3915</v>
      </c>
      <c r="D60" s="311">
        <v>13</v>
      </c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6"/>
      <c r="R60" s="307"/>
      <c r="S60" s="307"/>
    </row>
    <row r="61" spans="1:19" s="56" customFormat="1" ht="32.1" customHeight="1">
      <c r="A61" s="404" t="s">
        <v>125</v>
      </c>
      <c r="B61" s="301" t="s">
        <v>3432</v>
      </c>
      <c r="C61" s="301" t="s">
        <v>3917</v>
      </c>
      <c r="D61" s="418">
        <v>110</v>
      </c>
      <c r="E61" s="47"/>
      <c r="F61" s="47"/>
      <c r="G61" s="47"/>
      <c r="H61" s="47">
        <v>97.3</v>
      </c>
      <c r="I61" s="47"/>
      <c r="J61" s="47"/>
      <c r="K61" s="47"/>
      <c r="L61" s="47"/>
      <c r="M61" s="47"/>
      <c r="N61" s="47"/>
      <c r="O61" s="47"/>
      <c r="P61" s="47"/>
      <c r="Q61" s="306">
        <f t="shared" si="3"/>
        <v>97.3</v>
      </c>
      <c r="R61" s="307" t="str">
        <f t="shared" si="1"/>
        <v>NO</v>
      </c>
      <c r="S61" s="307" t="str">
        <f t="shared" si="2"/>
        <v>Inviable Sanitariamente</v>
      </c>
    </row>
    <row r="62" spans="1:19" s="56" customFormat="1" ht="32.1" customHeight="1">
      <c r="A62" s="562" t="s">
        <v>125</v>
      </c>
      <c r="B62" s="562" t="s">
        <v>3433</v>
      </c>
      <c r="C62" s="562" t="s">
        <v>3916</v>
      </c>
      <c r="D62" s="311">
        <v>25</v>
      </c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6"/>
      <c r="R62" s="307"/>
      <c r="S62" s="307"/>
    </row>
    <row r="63" spans="1:19" s="56" customFormat="1" ht="32.1" customHeight="1">
      <c r="A63" s="562" t="s">
        <v>125</v>
      </c>
      <c r="B63" s="562" t="s">
        <v>1615</v>
      </c>
      <c r="C63" s="562" t="s">
        <v>1616</v>
      </c>
      <c r="D63" s="311">
        <v>68</v>
      </c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6"/>
      <c r="R63" s="307"/>
      <c r="S63" s="307"/>
    </row>
    <row r="64" spans="1:19" s="56" customFormat="1" ht="35.25" customHeight="1">
      <c r="A64" s="562" t="s">
        <v>125</v>
      </c>
      <c r="B64" s="562" t="s">
        <v>2481</v>
      </c>
      <c r="C64" s="562" t="s">
        <v>4456</v>
      </c>
      <c r="D64" s="311">
        <v>34</v>
      </c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6"/>
      <c r="R64" s="307"/>
      <c r="S64" s="307"/>
    </row>
    <row r="65" spans="1:19" s="56" customFormat="1" ht="32.1" customHeight="1">
      <c r="A65" s="562" t="s">
        <v>125</v>
      </c>
      <c r="B65" s="562" t="s">
        <v>742</v>
      </c>
      <c r="C65" s="562" t="s">
        <v>3918</v>
      </c>
      <c r="D65" s="312">
        <v>35</v>
      </c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6"/>
      <c r="R65" s="307"/>
      <c r="S65" s="307"/>
    </row>
    <row r="66" spans="1:19" s="56" customFormat="1" ht="32.1" customHeight="1">
      <c r="A66" s="404" t="s">
        <v>125</v>
      </c>
      <c r="B66" s="301" t="s">
        <v>3434</v>
      </c>
      <c r="C66" s="301" t="s">
        <v>3919</v>
      </c>
      <c r="D66" s="418">
        <v>57</v>
      </c>
      <c r="E66" s="47"/>
      <c r="F66" s="47"/>
      <c r="G66" s="47">
        <v>97.3</v>
      </c>
      <c r="H66" s="47"/>
      <c r="I66" s="47"/>
      <c r="J66" s="47"/>
      <c r="K66" s="47"/>
      <c r="L66" s="47"/>
      <c r="M66" s="47"/>
      <c r="N66" s="47"/>
      <c r="O66" s="47"/>
      <c r="P66" s="47"/>
      <c r="Q66" s="306">
        <f t="shared" si="3"/>
        <v>97.3</v>
      </c>
      <c r="R66" s="307" t="str">
        <f t="shared" si="1"/>
        <v>NO</v>
      </c>
      <c r="S66" s="307" t="str">
        <f t="shared" si="2"/>
        <v>Inviable Sanitariamente</v>
      </c>
    </row>
    <row r="67" spans="1:19" s="56" customFormat="1" ht="32.1" customHeight="1">
      <c r="A67" s="404" t="s">
        <v>126</v>
      </c>
      <c r="B67" s="302" t="s">
        <v>3437</v>
      </c>
      <c r="C67" s="303" t="s">
        <v>3438</v>
      </c>
      <c r="D67" s="346">
        <v>61</v>
      </c>
      <c r="E67" s="47"/>
      <c r="F67" s="47"/>
      <c r="G67" s="47"/>
      <c r="H67" s="47"/>
      <c r="I67" s="47"/>
      <c r="J67" s="47"/>
      <c r="K67" s="47">
        <v>97.35</v>
      </c>
      <c r="L67" s="47"/>
      <c r="M67" s="47"/>
      <c r="N67" s="47"/>
      <c r="O67" s="47"/>
      <c r="P67" s="47">
        <v>97.35</v>
      </c>
      <c r="Q67" s="306">
        <f t="shared" si="3"/>
        <v>97.35</v>
      </c>
      <c r="R67" s="307" t="str">
        <f t="shared" si="1"/>
        <v>NO</v>
      </c>
      <c r="S67" s="307" t="str">
        <f t="shared" si="2"/>
        <v>Inviable Sanitariamente</v>
      </c>
    </row>
    <row r="68" spans="1:19" s="56" customFormat="1" ht="32.1" customHeight="1">
      <c r="A68" s="404" t="s">
        <v>126</v>
      </c>
      <c r="B68" s="302" t="s">
        <v>3439</v>
      </c>
      <c r="C68" s="303" t="s">
        <v>3440</v>
      </c>
      <c r="D68" s="346">
        <v>57</v>
      </c>
      <c r="E68" s="47">
        <v>97.35</v>
      </c>
      <c r="F68" s="47"/>
      <c r="G68" s="47"/>
      <c r="H68" s="47"/>
      <c r="I68" s="47"/>
      <c r="J68" s="47"/>
      <c r="K68" s="47">
        <v>97.35</v>
      </c>
      <c r="L68" s="47"/>
      <c r="M68" s="47"/>
      <c r="N68" s="47"/>
      <c r="O68" s="47"/>
      <c r="P68" s="47">
        <v>97.35</v>
      </c>
      <c r="Q68" s="306">
        <f t="shared" si="3"/>
        <v>97.34999999999998</v>
      </c>
      <c r="R68" s="307" t="str">
        <f t="shared" si="1"/>
        <v>NO</v>
      </c>
      <c r="S68" s="307" t="str">
        <f t="shared" si="2"/>
        <v>Inviable Sanitariamente</v>
      </c>
    </row>
    <row r="69" spans="1:19" s="56" customFormat="1" ht="32.1" customHeight="1">
      <c r="A69" s="404" t="s">
        <v>126</v>
      </c>
      <c r="B69" s="302" t="s">
        <v>3441</v>
      </c>
      <c r="C69" s="303" t="s">
        <v>3442</v>
      </c>
      <c r="D69" s="346">
        <v>80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>
        <v>97.35</v>
      </c>
      <c r="Q69" s="306">
        <f t="shared" ref="Q69:Q101" si="4">AVERAGE(E69:P69)</f>
        <v>97.35</v>
      </c>
      <c r="R69" s="307" t="str">
        <f t="shared" ref="R69:R133" si="5">IF(Q69&lt;5,"SI","NO")</f>
        <v>NO</v>
      </c>
      <c r="S69" s="307" t="str">
        <f t="shared" ref="S69:S133" si="6">IF(Q69&lt;=5,"Sin Riesgo",IF(Q69 &lt;=14,"Bajo",IF(Q69&lt;=35,"Medio",IF(Q69&lt;=80,"Alto","Inviable Sanitariamente"))))</f>
        <v>Inviable Sanitariamente</v>
      </c>
    </row>
    <row r="70" spans="1:19" s="56" customFormat="1" ht="32.1" customHeight="1">
      <c r="A70" s="404" t="s">
        <v>126</v>
      </c>
      <c r="B70" s="302" t="s">
        <v>2555</v>
      </c>
      <c r="C70" s="303" t="s">
        <v>3443</v>
      </c>
      <c r="D70" s="346">
        <v>30</v>
      </c>
      <c r="E70" s="47">
        <v>97.35</v>
      </c>
      <c r="F70" s="47"/>
      <c r="G70" s="47"/>
      <c r="H70" s="47"/>
      <c r="I70" s="47"/>
      <c r="J70" s="47"/>
      <c r="K70" s="47">
        <v>97.35</v>
      </c>
      <c r="L70" s="47"/>
      <c r="M70" s="47"/>
      <c r="N70" s="47"/>
      <c r="O70" s="47"/>
      <c r="P70" s="47">
        <v>97.35</v>
      </c>
      <c r="Q70" s="306">
        <f t="shared" si="4"/>
        <v>97.34999999999998</v>
      </c>
      <c r="R70" s="307" t="str">
        <f t="shared" si="5"/>
        <v>NO</v>
      </c>
      <c r="S70" s="307" t="str">
        <f t="shared" si="6"/>
        <v>Inviable Sanitariamente</v>
      </c>
    </row>
    <row r="71" spans="1:19" s="56" customFormat="1" ht="32.1" customHeight="1">
      <c r="A71" s="562" t="s">
        <v>126</v>
      </c>
      <c r="B71" s="563" t="s">
        <v>3444</v>
      </c>
      <c r="C71" s="582" t="s">
        <v>3445</v>
      </c>
      <c r="D71" s="304">
        <v>32</v>
      </c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6"/>
      <c r="R71" s="307"/>
      <c r="S71" s="307"/>
    </row>
    <row r="72" spans="1:19" s="56" customFormat="1" ht="32.1" customHeight="1">
      <c r="A72" s="562" t="s">
        <v>126</v>
      </c>
      <c r="B72" s="563" t="s">
        <v>3446</v>
      </c>
      <c r="C72" s="582" t="s">
        <v>3447</v>
      </c>
      <c r="D72" s="304">
        <v>49</v>
      </c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6"/>
      <c r="R72" s="307"/>
      <c r="S72" s="307"/>
    </row>
    <row r="73" spans="1:19" s="56" customFormat="1" ht="32.1" customHeight="1">
      <c r="A73" s="404" t="s">
        <v>127</v>
      </c>
      <c r="B73" s="302" t="s">
        <v>94</v>
      </c>
      <c r="C73" s="303" t="s">
        <v>3448</v>
      </c>
      <c r="D73" s="346">
        <v>65</v>
      </c>
      <c r="E73" s="378"/>
      <c r="F73" s="378"/>
      <c r="G73" s="378"/>
      <c r="H73" s="378"/>
      <c r="I73" s="378"/>
      <c r="J73" s="378">
        <v>96.39</v>
      </c>
      <c r="K73" s="378"/>
      <c r="L73" s="378"/>
      <c r="M73" s="378"/>
      <c r="N73" s="378">
        <v>70.8</v>
      </c>
      <c r="O73" s="378"/>
      <c r="P73" s="378"/>
      <c r="Q73" s="306">
        <f t="shared" si="4"/>
        <v>83.594999999999999</v>
      </c>
      <c r="R73" s="307" t="str">
        <f t="shared" si="5"/>
        <v>NO</v>
      </c>
      <c r="S73" s="307" t="str">
        <f t="shared" si="6"/>
        <v>Inviable Sanitariamente</v>
      </c>
    </row>
    <row r="74" spans="1:19" s="56" customFormat="1" ht="32.1" customHeight="1">
      <c r="A74" s="404" t="s">
        <v>127</v>
      </c>
      <c r="B74" s="302" t="s">
        <v>3449</v>
      </c>
      <c r="C74" s="303" t="s">
        <v>3450</v>
      </c>
      <c r="D74" s="346">
        <v>315</v>
      </c>
      <c r="E74" s="378"/>
      <c r="F74" s="378"/>
      <c r="G74" s="378"/>
      <c r="H74" s="378">
        <v>97.35</v>
      </c>
      <c r="I74" s="378"/>
      <c r="J74" s="378">
        <v>96.39</v>
      </c>
      <c r="K74" s="378"/>
      <c r="L74" s="378"/>
      <c r="M74" s="378"/>
      <c r="N74" s="378"/>
      <c r="O74" s="378"/>
      <c r="P74" s="378"/>
      <c r="Q74" s="306">
        <f t="shared" si="4"/>
        <v>96.87</v>
      </c>
      <c r="R74" s="307" t="str">
        <f t="shared" si="5"/>
        <v>NO</v>
      </c>
      <c r="S74" s="307" t="str">
        <f t="shared" si="6"/>
        <v>Inviable Sanitariamente</v>
      </c>
    </row>
    <row r="75" spans="1:19" s="56" customFormat="1" ht="32.1" customHeight="1">
      <c r="A75" s="404" t="s">
        <v>127</v>
      </c>
      <c r="B75" s="302" t="s">
        <v>3451</v>
      </c>
      <c r="C75" s="303" t="s">
        <v>3452</v>
      </c>
      <c r="D75" s="346">
        <v>130</v>
      </c>
      <c r="E75" s="378"/>
      <c r="F75" s="378"/>
      <c r="G75" s="378">
        <v>97.35</v>
      </c>
      <c r="H75" s="378"/>
      <c r="I75" s="378"/>
      <c r="J75" s="378">
        <v>96.39</v>
      </c>
      <c r="K75" s="378"/>
      <c r="L75" s="378"/>
      <c r="M75" s="378">
        <v>70.8</v>
      </c>
      <c r="N75" s="378"/>
      <c r="O75" s="378"/>
      <c r="P75" s="378"/>
      <c r="Q75" s="306">
        <f t="shared" si="4"/>
        <v>88.18</v>
      </c>
      <c r="R75" s="307" t="str">
        <f t="shared" si="5"/>
        <v>NO</v>
      </c>
      <c r="S75" s="307" t="str">
        <f t="shared" si="6"/>
        <v>Inviable Sanitariamente</v>
      </c>
    </row>
    <row r="76" spans="1:19" s="56" customFormat="1" ht="32.1" customHeight="1">
      <c r="A76" s="404" t="s">
        <v>127</v>
      </c>
      <c r="B76" s="302" t="s">
        <v>3453</v>
      </c>
      <c r="C76" s="303" t="s">
        <v>3436</v>
      </c>
      <c r="D76" s="346">
        <v>114</v>
      </c>
      <c r="E76" s="378"/>
      <c r="F76" s="378"/>
      <c r="G76" s="378">
        <v>97.35</v>
      </c>
      <c r="H76" s="378"/>
      <c r="I76" s="378"/>
      <c r="J76" s="378">
        <v>36.14</v>
      </c>
      <c r="K76" s="378"/>
      <c r="L76" s="378"/>
      <c r="M76" s="378">
        <v>70.8</v>
      </c>
      <c r="N76" s="378"/>
      <c r="O76" s="378"/>
      <c r="P76" s="378"/>
      <c r="Q76" s="306">
        <f t="shared" si="4"/>
        <v>68.096666666666678</v>
      </c>
      <c r="R76" s="307" t="str">
        <f t="shared" si="5"/>
        <v>NO</v>
      </c>
      <c r="S76" s="307" t="str">
        <f t="shared" si="6"/>
        <v>Alto</v>
      </c>
    </row>
    <row r="77" spans="1:19" s="56" customFormat="1" ht="32.1" customHeight="1">
      <c r="A77" s="404" t="s">
        <v>127</v>
      </c>
      <c r="B77" s="302" t="s">
        <v>3454</v>
      </c>
      <c r="C77" s="303" t="s">
        <v>3455</v>
      </c>
      <c r="D77" s="346">
        <v>100</v>
      </c>
      <c r="E77" s="378"/>
      <c r="F77" s="378"/>
      <c r="G77" s="378"/>
      <c r="H77" s="378"/>
      <c r="I77" s="378"/>
      <c r="J77" s="378">
        <v>96.39</v>
      </c>
      <c r="K77" s="378"/>
      <c r="L77" s="378"/>
      <c r="M77" s="378"/>
      <c r="N77" s="378"/>
      <c r="O77" s="378"/>
      <c r="P77" s="378"/>
      <c r="Q77" s="306">
        <f t="shared" si="4"/>
        <v>96.39</v>
      </c>
      <c r="R77" s="307" t="str">
        <f t="shared" si="5"/>
        <v>NO</v>
      </c>
      <c r="S77" s="307" t="str">
        <f t="shared" si="6"/>
        <v>Inviable Sanitariamente</v>
      </c>
    </row>
    <row r="78" spans="1:19" s="56" customFormat="1" ht="32.1" customHeight="1">
      <c r="A78" s="404" t="s">
        <v>3763</v>
      </c>
      <c r="B78" s="302" t="s">
        <v>3456</v>
      </c>
      <c r="C78" s="303" t="s">
        <v>3457</v>
      </c>
      <c r="D78" s="346">
        <v>107</v>
      </c>
      <c r="E78" s="47"/>
      <c r="F78" s="47">
        <v>36.14</v>
      </c>
      <c r="G78" s="47"/>
      <c r="H78" s="47"/>
      <c r="I78" s="47"/>
      <c r="J78" s="47"/>
      <c r="K78" s="47">
        <v>39.76</v>
      </c>
      <c r="L78" s="47"/>
      <c r="M78" s="47"/>
      <c r="N78" s="47"/>
      <c r="O78" s="47"/>
      <c r="P78" s="47"/>
      <c r="Q78" s="306">
        <f t="shared" si="4"/>
        <v>37.950000000000003</v>
      </c>
      <c r="R78" s="307" t="str">
        <f t="shared" si="5"/>
        <v>NO</v>
      </c>
      <c r="S78" s="307" t="str">
        <f t="shared" si="6"/>
        <v>Alto</v>
      </c>
    </row>
    <row r="79" spans="1:19" s="56" customFormat="1" ht="32.1" customHeight="1">
      <c r="A79" s="404" t="s">
        <v>3763</v>
      </c>
      <c r="B79" s="302" t="s">
        <v>3458</v>
      </c>
      <c r="C79" s="303" t="s">
        <v>3459</v>
      </c>
      <c r="D79" s="346">
        <v>73</v>
      </c>
      <c r="E79" s="47"/>
      <c r="F79" s="47">
        <v>3.61</v>
      </c>
      <c r="G79" s="47"/>
      <c r="H79" s="47"/>
      <c r="I79" s="47"/>
      <c r="J79" s="47"/>
      <c r="K79" s="47">
        <v>3.61</v>
      </c>
      <c r="L79" s="47"/>
      <c r="M79" s="47"/>
      <c r="N79" s="47"/>
      <c r="O79" s="47"/>
      <c r="P79" s="47"/>
      <c r="Q79" s="306">
        <f t="shared" si="4"/>
        <v>3.61</v>
      </c>
      <c r="R79" s="307" t="str">
        <f t="shared" si="5"/>
        <v>SI</v>
      </c>
      <c r="S79" s="307" t="str">
        <f t="shared" si="6"/>
        <v>Sin Riesgo</v>
      </c>
    </row>
    <row r="80" spans="1:19" s="56" customFormat="1" ht="32.1" customHeight="1">
      <c r="A80" s="404" t="s">
        <v>3763</v>
      </c>
      <c r="B80" s="302" t="s">
        <v>1178</v>
      </c>
      <c r="C80" s="303" t="s">
        <v>3460</v>
      </c>
      <c r="D80" s="346">
        <v>156</v>
      </c>
      <c r="E80" s="47"/>
      <c r="F80" s="47">
        <v>0</v>
      </c>
      <c r="G80" s="47"/>
      <c r="H80" s="47"/>
      <c r="I80" s="47"/>
      <c r="J80" s="47"/>
      <c r="K80" s="47">
        <v>0</v>
      </c>
      <c r="L80" s="47"/>
      <c r="M80" s="47"/>
      <c r="N80" s="47"/>
      <c r="O80" s="47"/>
      <c r="P80" s="47"/>
      <c r="Q80" s="306">
        <f t="shared" si="4"/>
        <v>0</v>
      </c>
      <c r="R80" s="307" t="str">
        <f t="shared" si="5"/>
        <v>SI</v>
      </c>
      <c r="S80" s="307" t="str">
        <f t="shared" si="6"/>
        <v>Sin Riesgo</v>
      </c>
    </row>
    <row r="81" spans="1:19" s="56" customFormat="1" ht="32.1" customHeight="1">
      <c r="A81" s="404" t="s">
        <v>3763</v>
      </c>
      <c r="B81" s="302" t="s">
        <v>3461</v>
      </c>
      <c r="C81" s="303" t="s">
        <v>3462</v>
      </c>
      <c r="D81" s="346">
        <v>104</v>
      </c>
      <c r="E81" s="47"/>
      <c r="F81" s="47">
        <v>3.61</v>
      </c>
      <c r="G81" s="47"/>
      <c r="H81" s="47"/>
      <c r="I81" s="47"/>
      <c r="J81" s="47"/>
      <c r="K81" s="47">
        <v>39.76</v>
      </c>
      <c r="L81" s="47"/>
      <c r="M81" s="47"/>
      <c r="N81" s="47"/>
      <c r="O81" s="47"/>
      <c r="P81" s="47"/>
      <c r="Q81" s="306">
        <f t="shared" si="4"/>
        <v>21.684999999999999</v>
      </c>
      <c r="R81" s="307" t="str">
        <f t="shared" si="5"/>
        <v>NO</v>
      </c>
      <c r="S81" s="307" t="str">
        <f t="shared" si="6"/>
        <v>Medio</v>
      </c>
    </row>
    <row r="82" spans="1:19" s="56" customFormat="1" ht="32.1" customHeight="1">
      <c r="A82" s="404" t="s">
        <v>3763</v>
      </c>
      <c r="B82" s="302" t="s">
        <v>2974</v>
      </c>
      <c r="C82" s="303" t="s">
        <v>3463</v>
      </c>
      <c r="D82" s="346">
        <v>82</v>
      </c>
      <c r="E82" s="47"/>
      <c r="F82" s="47">
        <v>3.61</v>
      </c>
      <c r="G82" s="47"/>
      <c r="H82" s="47"/>
      <c r="I82" s="47"/>
      <c r="J82" s="47"/>
      <c r="K82" s="47">
        <v>39.76</v>
      </c>
      <c r="L82" s="47"/>
      <c r="M82" s="47"/>
      <c r="N82" s="47"/>
      <c r="O82" s="47"/>
      <c r="P82" s="47"/>
      <c r="Q82" s="306">
        <f t="shared" si="4"/>
        <v>21.684999999999999</v>
      </c>
      <c r="R82" s="307" t="str">
        <f t="shared" si="5"/>
        <v>NO</v>
      </c>
      <c r="S82" s="307" t="str">
        <f t="shared" si="6"/>
        <v>Medio</v>
      </c>
    </row>
    <row r="83" spans="1:19" s="56" customFormat="1" ht="32.1" customHeight="1">
      <c r="A83" s="404" t="s">
        <v>3763</v>
      </c>
      <c r="B83" s="302" t="s">
        <v>3041</v>
      </c>
      <c r="C83" s="303" t="s">
        <v>3464</v>
      </c>
      <c r="D83" s="346">
        <v>156</v>
      </c>
      <c r="E83" s="47"/>
      <c r="F83" s="47">
        <v>3.61</v>
      </c>
      <c r="G83" s="47"/>
      <c r="H83" s="47"/>
      <c r="I83" s="47"/>
      <c r="J83" s="47"/>
      <c r="K83" s="47">
        <v>3.6</v>
      </c>
      <c r="L83" s="47"/>
      <c r="M83" s="47"/>
      <c r="N83" s="47"/>
      <c r="O83" s="47"/>
      <c r="P83" s="47"/>
      <c r="Q83" s="306">
        <f t="shared" si="4"/>
        <v>3.605</v>
      </c>
      <c r="R83" s="307" t="str">
        <f t="shared" si="5"/>
        <v>SI</v>
      </c>
      <c r="S83" s="307" t="str">
        <f t="shared" si="6"/>
        <v>Sin Riesgo</v>
      </c>
    </row>
    <row r="84" spans="1:19" s="56" customFormat="1" ht="32.1" customHeight="1">
      <c r="A84" s="404" t="s">
        <v>3763</v>
      </c>
      <c r="B84" s="302" t="s">
        <v>3465</v>
      </c>
      <c r="C84" s="303" t="s">
        <v>3466</v>
      </c>
      <c r="D84" s="346">
        <v>121</v>
      </c>
      <c r="E84" s="47"/>
      <c r="F84" s="47"/>
      <c r="G84" s="47"/>
      <c r="H84" s="47">
        <v>3.61</v>
      </c>
      <c r="I84" s="47"/>
      <c r="J84" s="47"/>
      <c r="K84" s="47"/>
      <c r="L84" s="47"/>
      <c r="M84" s="47"/>
      <c r="N84" s="47">
        <v>0</v>
      </c>
      <c r="O84" s="47"/>
      <c r="P84" s="47"/>
      <c r="Q84" s="306">
        <f t="shared" si="4"/>
        <v>1.8049999999999999</v>
      </c>
      <c r="R84" s="307" t="str">
        <f t="shared" si="5"/>
        <v>SI</v>
      </c>
      <c r="S84" s="307" t="str">
        <f t="shared" si="6"/>
        <v>Sin Riesgo</v>
      </c>
    </row>
    <row r="85" spans="1:19" s="56" customFormat="1" ht="32.1" customHeight="1">
      <c r="A85" s="404" t="s">
        <v>3763</v>
      </c>
      <c r="B85" s="302" t="s">
        <v>3467</v>
      </c>
      <c r="C85" s="303" t="s">
        <v>3468</v>
      </c>
      <c r="D85" s="399">
        <v>50</v>
      </c>
      <c r="E85" s="47"/>
      <c r="F85" s="47"/>
      <c r="G85" s="47"/>
      <c r="H85" s="47">
        <v>36.14</v>
      </c>
      <c r="I85" s="47"/>
      <c r="J85" s="47"/>
      <c r="K85" s="47"/>
      <c r="L85" s="47"/>
      <c r="M85" s="47"/>
      <c r="N85" s="47">
        <v>0</v>
      </c>
      <c r="O85" s="47"/>
      <c r="P85" s="47"/>
      <c r="Q85" s="306">
        <f t="shared" si="4"/>
        <v>18.07</v>
      </c>
      <c r="R85" s="307" t="str">
        <f t="shared" si="5"/>
        <v>NO</v>
      </c>
      <c r="S85" s="307" t="str">
        <f t="shared" si="6"/>
        <v>Medio</v>
      </c>
    </row>
    <row r="86" spans="1:19" s="56" customFormat="1" ht="32.1" customHeight="1">
      <c r="A86" s="404" t="s">
        <v>3763</v>
      </c>
      <c r="B86" s="302" t="s">
        <v>3469</v>
      </c>
      <c r="C86" s="303" t="s">
        <v>3470</v>
      </c>
      <c r="D86" s="346">
        <v>55</v>
      </c>
      <c r="E86" s="47"/>
      <c r="F86" s="47"/>
      <c r="G86" s="47"/>
      <c r="H86" s="47">
        <v>96.3</v>
      </c>
      <c r="I86" s="47"/>
      <c r="J86" s="47"/>
      <c r="K86" s="47"/>
      <c r="L86" s="47"/>
      <c r="M86" s="47"/>
      <c r="N86" s="47">
        <v>36.14</v>
      </c>
      <c r="O86" s="47"/>
      <c r="P86" s="47"/>
      <c r="Q86" s="306">
        <f t="shared" si="4"/>
        <v>66.22</v>
      </c>
      <c r="R86" s="307" t="str">
        <f t="shared" si="5"/>
        <v>NO</v>
      </c>
      <c r="S86" s="307" t="str">
        <f t="shared" si="6"/>
        <v>Alto</v>
      </c>
    </row>
    <row r="87" spans="1:19" s="56" customFormat="1" ht="32.1" customHeight="1">
      <c r="A87" s="404" t="s">
        <v>3763</v>
      </c>
      <c r="B87" s="302" t="s">
        <v>3471</v>
      </c>
      <c r="C87" s="303" t="s">
        <v>3472</v>
      </c>
      <c r="D87" s="346">
        <v>22</v>
      </c>
      <c r="E87" s="47"/>
      <c r="F87" s="47"/>
      <c r="G87" s="47"/>
      <c r="H87" s="47">
        <v>96.3</v>
      </c>
      <c r="I87" s="47"/>
      <c r="J87" s="47"/>
      <c r="K87" s="47"/>
      <c r="L87" s="47"/>
      <c r="M87" s="47"/>
      <c r="N87" s="47">
        <v>96.39</v>
      </c>
      <c r="O87" s="47"/>
      <c r="P87" s="47"/>
      <c r="Q87" s="306">
        <f t="shared" si="4"/>
        <v>96.344999999999999</v>
      </c>
      <c r="R87" s="307" t="str">
        <f t="shared" si="5"/>
        <v>NO</v>
      </c>
      <c r="S87" s="307" t="str">
        <f t="shared" si="6"/>
        <v>Inviable Sanitariamente</v>
      </c>
    </row>
    <row r="88" spans="1:19" s="56" customFormat="1" ht="32.1" customHeight="1">
      <c r="A88" s="404" t="s">
        <v>3763</v>
      </c>
      <c r="B88" s="302" t="s">
        <v>63</v>
      </c>
      <c r="C88" s="302" t="s">
        <v>3473</v>
      </c>
      <c r="D88" s="399">
        <v>176</v>
      </c>
      <c r="E88" s="47"/>
      <c r="F88" s="47"/>
      <c r="G88" s="47">
        <v>0</v>
      </c>
      <c r="H88" s="47"/>
      <c r="I88" s="47">
        <v>0</v>
      </c>
      <c r="J88" s="47"/>
      <c r="K88" s="47"/>
      <c r="L88" s="47">
        <v>0</v>
      </c>
      <c r="M88" s="47"/>
      <c r="N88" s="47">
        <v>0</v>
      </c>
      <c r="O88" s="47"/>
      <c r="P88" s="47"/>
      <c r="Q88" s="306">
        <f t="shared" si="4"/>
        <v>0</v>
      </c>
      <c r="R88" s="307" t="str">
        <f t="shared" si="5"/>
        <v>SI</v>
      </c>
      <c r="S88" s="307" t="str">
        <f t="shared" si="6"/>
        <v>Sin Riesgo</v>
      </c>
    </row>
    <row r="89" spans="1:19" s="56" customFormat="1" ht="32.1" customHeight="1">
      <c r="A89" s="562" t="s">
        <v>128</v>
      </c>
      <c r="B89" s="582" t="s">
        <v>974</v>
      </c>
      <c r="C89" s="563" t="s">
        <v>3475</v>
      </c>
      <c r="D89" s="304">
        <v>164</v>
      </c>
      <c r="E89" s="305"/>
      <c r="F89" s="305"/>
      <c r="G89" s="305"/>
      <c r="H89" s="305"/>
      <c r="I89" s="305"/>
      <c r="J89" s="305">
        <v>97.3</v>
      </c>
      <c r="K89" s="305"/>
      <c r="L89" s="305"/>
      <c r="M89" s="305"/>
      <c r="N89" s="305"/>
      <c r="O89" s="305">
        <v>97.3</v>
      </c>
      <c r="P89" s="305"/>
      <c r="Q89" s="306">
        <f t="shared" si="4"/>
        <v>97.3</v>
      </c>
      <c r="R89" s="307" t="str">
        <f t="shared" si="5"/>
        <v>NO</v>
      </c>
      <c r="S89" s="307" t="str">
        <f t="shared" si="6"/>
        <v>Inviable Sanitariamente</v>
      </c>
    </row>
    <row r="90" spans="1:19" s="56" customFormat="1" ht="32.1" customHeight="1">
      <c r="A90" s="564" t="s">
        <v>128</v>
      </c>
      <c r="B90" s="583" t="s">
        <v>4349</v>
      </c>
      <c r="C90" s="583" t="s">
        <v>4350</v>
      </c>
      <c r="D90" s="418">
        <v>30</v>
      </c>
      <c r="E90" s="407"/>
      <c r="F90" s="407"/>
      <c r="G90" s="407"/>
      <c r="H90" s="407"/>
      <c r="I90" s="407"/>
      <c r="J90" s="407">
        <v>95.35</v>
      </c>
      <c r="K90" s="407"/>
      <c r="L90" s="407"/>
      <c r="M90" s="407"/>
      <c r="N90" s="407"/>
      <c r="O90" s="407"/>
      <c r="P90" s="407"/>
      <c r="Q90" s="306">
        <f t="shared" si="4"/>
        <v>95.35</v>
      </c>
      <c r="R90" s="307" t="str">
        <f t="shared" si="5"/>
        <v>NO</v>
      </c>
      <c r="S90" s="307" t="str">
        <f t="shared" si="6"/>
        <v>Inviable Sanitariamente</v>
      </c>
    </row>
    <row r="91" spans="1:19" s="56" customFormat="1" ht="32.1" customHeight="1">
      <c r="A91" s="564" t="s">
        <v>128</v>
      </c>
      <c r="B91" s="582" t="s">
        <v>3476</v>
      </c>
      <c r="C91" s="563" t="s">
        <v>3477</v>
      </c>
      <c r="D91" s="418">
        <v>350</v>
      </c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>
        <v>96.39</v>
      </c>
      <c r="P91" s="407"/>
      <c r="Q91" s="306">
        <f t="shared" si="4"/>
        <v>96.39</v>
      </c>
      <c r="R91" s="307" t="str">
        <f t="shared" si="5"/>
        <v>NO</v>
      </c>
      <c r="S91" s="307" t="str">
        <f t="shared" si="6"/>
        <v>Inviable Sanitariamente</v>
      </c>
    </row>
    <row r="92" spans="1:19" s="56" customFormat="1" ht="32.1" customHeight="1">
      <c r="A92" s="564" t="s">
        <v>128</v>
      </c>
      <c r="B92" s="582" t="s">
        <v>3478</v>
      </c>
      <c r="C92" s="582" t="s">
        <v>3479</v>
      </c>
      <c r="D92" s="419">
        <v>57</v>
      </c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>
        <v>96.39</v>
      </c>
      <c r="P92" s="407"/>
      <c r="Q92" s="306">
        <f t="shared" si="4"/>
        <v>96.39</v>
      </c>
      <c r="R92" s="307" t="str">
        <f t="shared" si="5"/>
        <v>NO</v>
      </c>
      <c r="S92" s="307" t="str">
        <f t="shared" si="6"/>
        <v>Inviable Sanitariamente</v>
      </c>
    </row>
    <row r="93" spans="1:19" s="56" customFormat="1" ht="32.1" customHeight="1">
      <c r="A93" s="564" t="s">
        <v>128</v>
      </c>
      <c r="B93" s="582" t="s">
        <v>3480</v>
      </c>
      <c r="C93" s="582" t="s">
        <v>3481</v>
      </c>
      <c r="D93" s="418">
        <v>49</v>
      </c>
      <c r="E93" s="407"/>
      <c r="F93" s="407"/>
      <c r="G93" s="407"/>
      <c r="H93" s="407"/>
      <c r="I93" s="407"/>
      <c r="J93" s="407"/>
      <c r="K93" s="407"/>
      <c r="L93" s="407"/>
      <c r="M93" s="407">
        <v>84.21</v>
      </c>
      <c r="N93" s="407"/>
      <c r="O93" s="407"/>
      <c r="P93" s="407"/>
      <c r="Q93" s="306">
        <f t="shared" si="4"/>
        <v>84.21</v>
      </c>
      <c r="R93" s="307" t="str">
        <f t="shared" si="5"/>
        <v>NO</v>
      </c>
      <c r="S93" s="307" t="str">
        <f t="shared" si="6"/>
        <v>Inviable Sanitariamente</v>
      </c>
    </row>
    <row r="94" spans="1:19" s="56" customFormat="1" ht="32.1" customHeight="1">
      <c r="A94" s="564" t="s">
        <v>128</v>
      </c>
      <c r="B94" s="582" t="s">
        <v>3482</v>
      </c>
      <c r="C94" s="563" t="s">
        <v>3483</v>
      </c>
      <c r="D94" s="418">
        <v>110</v>
      </c>
      <c r="E94" s="407"/>
      <c r="F94" s="407"/>
      <c r="G94" s="407"/>
      <c r="H94" s="407"/>
      <c r="I94" s="407"/>
      <c r="J94" s="407">
        <v>26.55</v>
      </c>
      <c r="K94" s="407"/>
      <c r="L94" s="407">
        <v>26.55</v>
      </c>
      <c r="M94" s="407"/>
      <c r="N94" s="407"/>
      <c r="O94" s="407"/>
      <c r="P94" s="407"/>
      <c r="Q94" s="306">
        <f t="shared" si="4"/>
        <v>26.55</v>
      </c>
      <c r="R94" s="307" t="str">
        <f t="shared" si="5"/>
        <v>NO</v>
      </c>
      <c r="S94" s="307" t="str">
        <f t="shared" si="6"/>
        <v>Medio</v>
      </c>
    </row>
    <row r="95" spans="1:19" s="56" customFormat="1" ht="32.1" customHeight="1">
      <c r="A95" s="562" t="s">
        <v>128</v>
      </c>
      <c r="B95" s="582" t="s">
        <v>3484</v>
      </c>
      <c r="C95" s="563" t="s">
        <v>3485</v>
      </c>
      <c r="D95" s="304">
        <v>26</v>
      </c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6"/>
      <c r="R95" s="307"/>
      <c r="S95" s="307"/>
    </row>
    <row r="96" spans="1:19" s="56" customFormat="1" ht="32.1" customHeight="1">
      <c r="A96" s="562" t="s">
        <v>128</v>
      </c>
      <c r="B96" s="582" t="s">
        <v>761</v>
      </c>
      <c r="C96" s="582" t="s">
        <v>4353</v>
      </c>
      <c r="D96" s="346">
        <v>47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>
        <v>96.37</v>
      </c>
      <c r="P96" s="47"/>
      <c r="Q96" s="306">
        <f t="shared" si="4"/>
        <v>96.37</v>
      </c>
      <c r="R96" s="307" t="str">
        <f t="shared" si="5"/>
        <v>NO</v>
      </c>
      <c r="S96" s="307" t="str">
        <f t="shared" si="6"/>
        <v>Inviable Sanitariamente</v>
      </c>
    </row>
    <row r="97" spans="1:19" s="56" customFormat="1" ht="32.1" customHeight="1">
      <c r="A97" s="562" t="s">
        <v>128</v>
      </c>
      <c r="B97" s="582" t="s">
        <v>761</v>
      </c>
      <c r="C97" s="582" t="s">
        <v>4354</v>
      </c>
      <c r="D97" s="346">
        <v>38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>
        <v>93.37</v>
      </c>
      <c r="P97" s="47"/>
      <c r="Q97" s="306"/>
      <c r="R97" s="307"/>
      <c r="S97" s="307"/>
    </row>
    <row r="98" spans="1:19" s="56" customFormat="1" ht="32.1" customHeight="1">
      <c r="A98" s="562" t="s">
        <v>128</v>
      </c>
      <c r="B98" s="582" t="s">
        <v>3486</v>
      </c>
      <c r="C98" s="582" t="s">
        <v>3487</v>
      </c>
      <c r="D98" s="304">
        <v>20</v>
      </c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>
        <v>53.1</v>
      </c>
      <c r="P98" s="305"/>
      <c r="Q98" s="306">
        <f t="shared" si="4"/>
        <v>53.1</v>
      </c>
      <c r="R98" s="307" t="str">
        <f t="shared" si="5"/>
        <v>NO</v>
      </c>
      <c r="S98" s="307" t="str">
        <f t="shared" si="6"/>
        <v>Alto</v>
      </c>
    </row>
    <row r="99" spans="1:19" s="56" customFormat="1" ht="32.1" customHeight="1">
      <c r="A99" s="562" t="s">
        <v>128</v>
      </c>
      <c r="B99" s="582" t="s">
        <v>3488</v>
      </c>
      <c r="C99" s="582" t="s">
        <v>3489</v>
      </c>
      <c r="D99" s="304">
        <v>32</v>
      </c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6"/>
      <c r="R99" s="307"/>
      <c r="S99" s="307"/>
    </row>
    <row r="100" spans="1:19" s="56" customFormat="1" ht="32.1" customHeight="1">
      <c r="A100" s="404" t="s">
        <v>128</v>
      </c>
      <c r="B100" s="303" t="s">
        <v>61</v>
      </c>
      <c r="C100" s="303" t="s">
        <v>3490</v>
      </c>
      <c r="D100" s="418">
        <v>13</v>
      </c>
      <c r="E100" s="407"/>
      <c r="F100" s="407"/>
      <c r="G100" s="407"/>
      <c r="H100" s="407"/>
      <c r="I100" s="407"/>
      <c r="J100" s="407"/>
      <c r="K100" s="407"/>
      <c r="L100" s="407">
        <v>97.35</v>
      </c>
      <c r="M100" s="407"/>
      <c r="N100" s="407"/>
      <c r="O100" s="407"/>
      <c r="P100" s="407"/>
      <c r="Q100" s="306">
        <f t="shared" si="4"/>
        <v>97.35</v>
      </c>
      <c r="R100" s="307" t="str">
        <f t="shared" si="5"/>
        <v>NO</v>
      </c>
      <c r="S100" s="307" t="str">
        <f t="shared" si="6"/>
        <v>Inviable Sanitariamente</v>
      </c>
    </row>
    <row r="101" spans="1:19" s="56" customFormat="1" ht="32.1" customHeight="1">
      <c r="A101" s="404" t="s">
        <v>128</v>
      </c>
      <c r="B101" s="303" t="s">
        <v>1742</v>
      </c>
      <c r="C101" s="303" t="s">
        <v>3491</v>
      </c>
      <c r="D101" s="419">
        <v>23</v>
      </c>
      <c r="E101" s="407"/>
      <c r="F101" s="407"/>
      <c r="G101" s="407"/>
      <c r="H101" s="407"/>
      <c r="I101" s="407"/>
      <c r="J101" s="407"/>
      <c r="K101" s="407"/>
      <c r="L101" s="407">
        <v>96.39</v>
      </c>
      <c r="M101" s="407"/>
      <c r="N101" s="407"/>
      <c r="O101" s="407"/>
      <c r="P101" s="407"/>
      <c r="Q101" s="306">
        <f t="shared" si="4"/>
        <v>96.39</v>
      </c>
      <c r="R101" s="307" t="str">
        <f t="shared" si="5"/>
        <v>NO</v>
      </c>
      <c r="S101" s="307" t="str">
        <f t="shared" si="6"/>
        <v>Inviable Sanitariamente</v>
      </c>
    </row>
    <row r="102" spans="1:19" s="56" customFormat="1" ht="32.1" customHeight="1">
      <c r="A102" s="562" t="s">
        <v>128</v>
      </c>
      <c r="B102" s="582" t="s">
        <v>43</v>
      </c>
      <c r="C102" s="582" t="s">
        <v>3492</v>
      </c>
      <c r="D102" s="304">
        <v>22</v>
      </c>
      <c r="E102" s="305"/>
      <c r="F102" s="305"/>
      <c r="G102" s="305">
        <v>97.3</v>
      </c>
      <c r="H102" s="305"/>
      <c r="I102" s="305"/>
      <c r="J102" s="305"/>
      <c r="K102" s="305"/>
      <c r="L102" s="305"/>
      <c r="M102" s="305"/>
      <c r="N102" s="305"/>
      <c r="O102" s="305"/>
      <c r="P102" s="305"/>
      <c r="Q102" s="306">
        <f t="shared" ref="Q102:Q133" si="7">AVERAGE(E102:P102)</f>
        <v>97.3</v>
      </c>
      <c r="R102" s="307" t="str">
        <f t="shared" si="5"/>
        <v>NO</v>
      </c>
      <c r="S102" s="307" t="str">
        <f t="shared" si="6"/>
        <v>Inviable Sanitariamente</v>
      </c>
    </row>
    <row r="103" spans="1:19" s="56" customFormat="1" ht="32.1" customHeight="1">
      <c r="A103" s="564" t="s">
        <v>128</v>
      </c>
      <c r="B103" s="582" t="s">
        <v>76</v>
      </c>
      <c r="C103" s="582" t="s">
        <v>3493</v>
      </c>
      <c r="D103" s="418">
        <v>33</v>
      </c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>
        <v>96.39</v>
      </c>
      <c r="P103" s="407"/>
      <c r="Q103" s="306">
        <f t="shared" si="7"/>
        <v>96.39</v>
      </c>
      <c r="R103" s="307" t="str">
        <f t="shared" si="5"/>
        <v>NO</v>
      </c>
      <c r="S103" s="307" t="str">
        <f t="shared" si="6"/>
        <v>Inviable Sanitariamente</v>
      </c>
    </row>
    <row r="104" spans="1:19" s="56" customFormat="1" ht="32.1" customHeight="1">
      <c r="A104" s="564" t="s">
        <v>128</v>
      </c>
      <c r="B104" s="582" t="s">
        <v>3494</v>
      </c>
      <c r="C104" s="582" t="s">
        <v>3495</v>
      </c>
      <c r="D104" s="418">
        <v>35</v>
      </c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>
        <v>96.38</v>
      </c>
      <c r="P104" s="407"/>
      <c r="Q104" s="306">
        <f t="shared" si="7"/>
        <v>96.38</v>
      </c>
      <c r="R104" s="307" t="str">
        <f t="shared" si="5"/>
        <v>NO</v>
      </c>
      <c r="S104" s="307" t="str">
        <f t="shared" si="6"/>
        <v>Inviable Sanitariamente</v>
      </c>
    </row>
    <row r="105" spans="1:19" s="56" customFormat="1" ht="32.1" customHeight="1">
      <c r="A105" s="564" t="s">
        <v>128</v>
      </c>
      <c r="B105" s="582" t="s">
        <v>3496</v>
      </c>
      <c r="C105" s="582" t="s">
        <v>3497</v>
      </c>
      <c r="D105" s="419">
        <v>100</v>
      </c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>
        <v>96.39</v>
      </c>
      <c r="P105" s="407"/>
      <c r="Q105" s="306">
        <f t="shared" si="7"/>
        <v>96.39</v>
      </c>
      <c r="R105" s="307" t="str">
        <f t="shared" si="5"/>
        <v>NO</v>
      </c>
      <c r="S105" s="307" t="str">
        <f t="shared" si="6"/>
        <v>Inviable Sanitariamente</v>
      </c>
    </row>
    <row r="106" spans="1:19" s="56" customFormat="1" ht="32.1" customHeight="1">
      <c r="A106" s="562" t="s">
        <v>128</v>
      </c>
      <c r="B106" s="582" t="s">
        <v>233</v>
      </c>
      <c r="C106" s="582" t="s">
        <v>3498</v>
      </c>
      <c r="D106" s="304">
        <v>21</v>
      </c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6"/>
      <c r="R106" s="307"/>
      <c r="S106" s="307"/>
    </row>
    <row r="107" spans="1:19" s="56" customFormat="1" ht="32.1" customHeight="1">
      <c r="A107" s="562" t="s">
        <v>128</v>
      </c>
      <c r="B107" s="582" t="s">
        <v>3499</v>
      </c>
      <c r="C107" s="582" t="s">
        <v>3500</v>
      </c>
      <c r="D107" s="304">
        <v>21</v>
      </c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>
        <v>96.4</v>
      </c>
      <c r="Q107" s="306">
        <f t="shared" si="7"/>
        <v>96.4</v>
      </c>
      <c r="R107" s="307" t="str">
        <f t="shared" si="5"/>
        <v>NO</v>
      </c>
      <c r="S107" s="307" t="str">
        <f t="shared" si="6"/>
        <v>Inviable Sanitariamente</v>
      </c>
    </row>
    <row r="108" spans="1:19" s="56" customFormat="1" ht="32.1" customHeight="1">
      <c r="A108" s="562" t="s">
        <v>128</v>
      </c>
      <c r="B108" s="582" t="s">
        <v>3501</v>
      </c>
      <c r="C108" s="582" t="s">
        <v>3502</v>
      </c>
      <c r="D108" s="304">
        <v>16</v>
      </c>
      <c r="E108" s="305"/>
      <c r="F108" s="305"/>
      <c r="G108" s="305"/>
      <c r="H108" s="305"/>
      <c r="I108" s="305"/>
      <c r="J108" s="305"/>
      <c r="K108" s="305"/>
      <c r="L108" s="305"/>
      <c r="M108" s="305">
        <v>53.1</v>
      </c>
      <c r="N108" s="305"/>
      <c r="O108" s="305"/>
      <c r="P108" s="305"/>
      <c r="Q108" s="306">
        <f t="shared" si="7"/>
        <v>53.1</v>
      </c>
      <c r="R108" s="307" t="str">
        <f t="shared" si="5"/>
        <v>NO</v>
      </c>
      <c r="S108" s="307" t="str">
        <f t="shared" si="6"/>
        <v>Alto</v>
      </c>
    </row>
    <row r="109" spans="1:19" s="56" customFormat="1" ht="32.1" customHeight="1">
      <c r="A109" s="301" t="s">
        <v>128</v>
      </c>
      <c r="B109" s="558" t="s">
        <v>4351</v>
      </c>
      <c r="C109" s="558" t="s">
        <v>4352</v>
      </c>
      <c r="D109" s="420">
        <v>33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17">
        <v>96.39</v>
      </c>
      <c r="P109" s="407"/>
      <c r="Q109" s="306"/>
      <c r="R109" s="307"/>
      <c r="S109" s="307"/>
    </row>
    <row r="110" spans="1:19" s="56" customFormat="1" ht="32.1" customHeight="1">
      <c r="A110" s="404" t="s">
        <v>128</v>
      </c>
      <c r="B110" s="303" t="s">
        <v>3503</v>
      </c>
      <c r="C110" s="302" t="s">
        <v>4355</v>
      </c>
      <c r="D110" s="420">
        <v>24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17">
        <v>96.38</v>
      </c>
      <c r="P110" s="407"/>
      <c r="Q110" s="306">
        <f t="shared" si="7"/>
        <v>96.38</v>
      </c>
      <c r="R110" s="307" t="str">
        <f t="shared" si="5"/>
        <v>NO</v>
      </c>
      <c r="S110" s="307" t="str">
        <f t="shared" si="6"/>
        <v>Inviable Sanitariamente</v>
      </c>
    </row>
    <row r="111" spans="1:19" s="56" customFormat="1" ht="32.1" customHeight="1">
      <c r="A111" s="562" t="s">
        <v>128</v>
      </c>
      <c r="B111" s="582" t="s">
        <v>3504</v>
      </c>
      <c r="C111" s="582" t="s">
        <v>3505</v>
      </c>
      <c r="D111" s="304">
        <v>18</v>
      </c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>
        <v>53.1</v>
      </c>
      <c r="P111" s="305"/>
      <c r="Q111" s="306">
        <f t="shared" si="7"/>
        <v>53.1</v>
      </c>
      <c r="R111" s="307" t="str">
        <f t="shared" si="5"/>
        <v>NO</v>
      </c>
      <c r="S111" s="307" t="str">
        <f t="shared" si="6"/>
        <v>Alto</v>
      </c>
    </row>
    <row r="112" spans="1:19" s="189" customFormat="1" ht="32.1" customHeight="1">
      <c r="A112" s="564" t="s">
        <v>129</v>
      </c>
      <c r="B112" s="563" t="s">
        <v>3506</v>
      </c>
      <c r="C112" s="563" t="s">
        <v>3507</v>
      </c>
      <c r="D112" s="418">
        <v>17</v>
      </c>
      <c r="E112" s="407"/>
      <c r="F112" s="407"/>
      <c r="G112" s="407"/>
      <c r="H112" s="407"/>
      <c r="I112" s="407"/>
      <c r="J112" s="407"/>
      <c r="K112" s="407"/>
      <c r="L112" s="407"/>
      <c r="M112" s="407"/>
      <c r="N112" s="407">
        <v>0</v>
      </c>
      <c r="O112" s="407">
        <v>0</v>
      </c>
      <c r="P112" s="407"/>
      <c r="Q112" s="306">
        <f t="shared" si="7"/>
        <v>0</v>
      </c>
      <c r="R112" s="307" t="str">
        <f t="shared" si="5"/>
        <v>SI</v>
      </c>
      <c r="S112" s="307" t="str">
        <f t="shared" si="6"/>
        <v>Sin Riesgo</v>
      </c>
    </row>
    <row r="113" spans="1:19" s="189" customFormat="1" ht="32.1" customHeight="1">
      <c r="A113" s="562" t="s">
        <v>129</v>
      </c>
      <c r="B113" s="563" t="s">
        <v>3508</v>
      </c>
      <c r="C113" s="563" t="s">
        <v>3509</v>
      </c>
      <c r="D113" s="418">
        <v>23</v>
      </c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306"/>
      <c r="R113" s="307"/>
      <c r="S113" s="307"/>
    </row>
    <row r="114" spans="1:19" s="189" customFormat="1" ht="32.1" customHeight="1">
      <c r="A114" s="564" t="s">
        <v>129</v>
      </c>
      <c r="B114" s="563" t="s">
        <v>1220</v>
      </c>
      <c r="C114" s="563" t="s">
        <v>3510</v>
      </c>
      <c r="D114" s="418">
        <v>27</v>
      </c>
      <c r="E114" s="407"/>
      <c r="F114" s="407"/>
      <c r="G114" s="407"/>
      <c r="H114" s="407"/>
      <c r="I114" s="407"/>
      <c r="J114" s="407"/>
      <c r="K114" s="407"/>
      <c r="L114" s="407">
        <v>0</v>
      </c>
      <c r="M114" s="407">
        <v>0</v>
      </c>
      <c r="N114" s="407"/>
      <c r="O114" s="407"/>
      <c r="P114" s="407">
        <v>0</v>
      </c>
      <c r="Q114" s="306">
        <f t="shared" si="7"/>
        <v>0</v>
      </c>
      <c r="R114" s="307" t="str">
        <f t="shared" si="5"/>
        <v>SI</v>
      </c>
      <c r="S114" s="307" t="str">
        <f t="shared" si="6"/>
        <v>Sin Riesgo</v>
      </c>
    </row>
    <row r="115" spans="1:19" s="189" customFormat="1" ht="32.1" customHeight="1">
      <c r="A115" s="562" t="s">
        <v>129</v>
      </c>
      <c r="B115" s="563" t="s">
        <v>3511</v>
      </c>
      <c r="C115" s="563" t="s">
        <v>3512</v>
      </c>
      <c r="D115" s="418">
        <v>25</v>
      </c>
      <c r="E115" s="407"/>
      <c r="F115" s="407"/>
      <c r="G115" s="407"/>
      <c r="H115" s="408"/>
      <c r="I115" s="408"/>
      <c r="J115" s="408"/>
      <c r="K115" s="408"/>
      <c r="L115" s="408"/>
      <c r="M115" s="408">
        <v>97.34</v>
      </c>
      <c r="N115" s="408"/>
      <c r="O115" s="408"/>
      <c r="P115" s="408"/>
      <c r="Q115" s="521">
        <f t="shared" si="7"/>
        <v>97.34</v>
      </c>
      <c r="R115" s="307" t="str">
        <f t="shared" si="5"/>
        <v>NO</v>
      </c>
      <c r="S115" s="307" t="str">
        <f t="shared" si="6"/>
        <v>Inviable Sanitariamente</v>
      </c>
    </row>
    <row r="116" spans="1:19" s="189" customFormat="1" ht="32.1" customHeight="1">
      <c r="A116" s="564" t="s">
        <v>129</v>
      </c>
      <c r="B116" s="563" t="s">
        <v>3513</v>
      </c>
      <c r="C116" s="563" t="s">
        <v>3514</v>
      </c>
      <c r="D116" s="418">
        <v>57</v>
      </c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>
        <v>97.34</v>
      </c>
      <c r="P116" s="407"/>
      <c r="Q116" s="306">
        <f t="shared" si="7"/>
        <v>97.34</v>
      </c>
      <c r="R116" s="307" t="str">
        <f t="shared" si="5"/>
        <v>NO</v>
      </c>
      <c r="S116" s="307" t="str">
        <f t="shared" si="6"/>
        <v>Inviable Sanitariamente</v>
      </c>
    </row>
    <row r="117" spans="1:19" s="189" customFormat="1" ht="32.1" customHeight="1">
      <c r="A117" s="562" t="s">
        <v>129</v>
      </c>
      <c r="B117" s="563" t="s">
        <v>3515</v>
      </c>
      <c r="C117" s="563" t="s">
        <v>3516</v>
      </c>
      <c r="D117" s="418">
        <v>147</v>
      </c>
      <c r="E117" s="407"/>
      <c r="F117" s="407"/>
      <c r="G117" s="407"/>
      <c r="H117" s="522"/>
      <c r="I117" s="522"/>
      <c r="J117" s="522"/>
      <c r="K117" s="522"/>
      <c r="L117" s="522"/>
      <c r="M117" s="522"/>
      <c r="N117" s="522"/>
      <c r="O117" s="522"/>
      <c r="P117" s="522">
        <v>97.34</v>
      </c>
      <c r="Q117" s="523">
        <f t="shared" si="7"/>
        <v>97.34</v>
      </c>
      <c r="R117" s="307" t="str">
        <f t="shared" si="5"/>
        <v>NO</v>
      </c>
      <c r="S117" s="307" t="str">
        <f t="shared" si="6"/>
        <v>Inviable Sanitariamente</v>
      </c>
    </row>
    <row r="118" spans="1:19" s="189" customFormat="1" ht="32.1" customHeight="1">
      <c r="A118" s="404" t="s">
        <v>129</v>
      </c>
      <c r="B118" s="302" t="s">
        <v>3517</v>
      </c>
      <c r="C118" s="302" t="s">
        <v>3518</v>
      </c>
      <c r="D118" s="418">
        <v>60</v>
      </c>
      <c r="E118" s="407"/>
      <c r="F118" s="407"/>
      <c r="G118" s="407"/>
      <c r="H118" s="407"/>
      <c r="I118" s="407"/>
      <c r="J118" s="407"/>
      <c r="K118" s="407"/>
      <c r="L118" s="407"/>
      <c r="M118" s="407"/>
      <c r="N118" s="407">
        <v>97.34</v>
      </c>
      <c r="O118" s="407">
        <v>97.34</v>
      </c>
      <c r="P118" s="407"/>
      <c r="Q118" s="306">
        <f t="shared" si="7"/>
        <v>97.34</v>
      </c>
      <c r="R118" s="307" t="str">
        <f t="shared" si="5"/>
        <v>NO</v>
      </c>
      <c r="S118" s="307" t="str">
        <f t="shared" si="6"/>
        <v>Inviable Sanitariamente</v>
      </c>
    </row>
    <row r="119" spans="1:19" s="189" customFormat="1" ht="32.1" customHeight="1">
      <c r="A119" s="404" t="s">
        <v>129</v>
      </c>
      <c r="B119" s="302" t="s">
        <v>3519</v>
      </c>
      <c r="C119" s="302" t="s">
        <v>3520</v>
      </c>
      <c r="D119" s="419">
        <v>51</v>
      </c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>
        <v>0</v>
      </c>
      <c r="P119" s="407"/>
      <c r="Q119" s="306">
        <f t="shared" si="7"/>
        <v>0</v>
      </c>
      <c r="R119" s="307" t="str">
        <f t="shared" si="5"/>
        <v>SI</v>
      </c>
      <c r="S119" s="307" t="str">
        <f t="shared" si="6"/>
        <v>Sin Riesgo</v>
      </c>
    </row>
    <row r="120" spans="1:19" s="189" customFormat="1" ht="32.1" customHeight="1">
      <c r="A120" s="404" t="s">
        <v>129</v>
      </c>
      <c r="B120" s="302" t="s">
        <v>3521</v>
      </c>
      <c r="C120" s="302" t="s">
        <v>3522</v>
      </c>
      <c r="D120" s="418">
        <v>17</v>
      </c>
      <c r="E120" s="407"/>
      <c r="F120" s="407"/>
      <c r="G120" s="407"/>
      <c r="H120" s="407"/>
      <c r="I120" s="407"/>
      <c r="J120" s="407"/>
      <c r="K120" s="407"/>
      <c r="L120" s="407"/>
      <c r="M120" s="407"/>
      <c r="N120" s="407">
        <v>97.34</v>
      </c>
      <c r="O120" s="407"/>
      <c r="P120" s="407"/>
      <c r="Q120" s="306">
        <f t="shared" si="7"/>
        <v>97.34</v>
      </c>
      <c r="R120" s="307" t="str">
        <f t="shared" si="5"/>
        <v>NO</v>
      </c>
      <c r="S120" s="307" t="str">
        <f t="shared" si="6"/>
        <v>Inviable Sanitariamente</v>
      </c>
    </row>
    <row r="121" spans="1:19" s="189" customFormat="1" ht="32.1" customHeight="1">
      <c r="A121" s="404" t="s">
        <v>129</v>
      </c>
      <c r="B121" s="302" t="s">
        <v>3523</v>
      </c>
      <c r="C121" s="302" t="s">
        <v>3524</v>
      </c>
      <c r="D121" s="418">
        <v>15</v>
      </c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>
        <v>97.34</v>
      </c>
      <c r="P121" s="407"/>
      <c r="Q121" s="306">
        <f t="shared" si="7"/>
        <v>97.34</v>
      </c>
      <c r="R121" s="307" t="str">
        <f t="shared" si="5"/>
        <v>NO</v>
      </c>
      <c r="S121" s="307" t="str">
        <f t="shared" si="6"/>
        <v>Inviable Sanitariamente</v>
      </c>
    </row>
    <row r="122" spans="1:19" s="189" customFormat="1" ht="32.1" customHeight="1">
      <c r="A122" s="404" t="s">
        <v>129</v>
      </c>
      <c r="B122" s="302" t="s">
        <v>3525</v>
      </c>
      <c r="C122" s="302" t="s">
        <v>3526</v>
      </c>
      <c r="D122" s="419">
        <v>37</v>
      </c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>
        <v>97.34</v>
      </c>
      <c r="P122" s="407"/>
      <c r="Q122" s="306">
        <f t="shared" si="7"/>
        <v>97.34</v>
      </c>
      <c r="R122" s="307" t="str">
        <f t="shared" si="5"/>
        <v>NO</v>
      </c>
      <c r="S122" s="307" t="str">
        <f t="shared" si="6"/>
        <v>Inviable Sanitariamente</v>
      </c>
    </row>
    <row r="123" spans="1:19" s="189" customFormat="1" ht="32.1" customHeight="1">
      <c r="A123" s="404" t="s">
        <v>129</v>
      </c>
      <c r="B123" s="302" t="s">
        <v>3527</v>
      </c>
      <c r="C123" s="302" t="s">
        <v>3528</v>
      </c>
      <c r="D123" s="418">
        <v>15</v>
      </c>
      <c r="E123" s="407"/>
      <c r="F123" s="407"/>
      <c r="G123" s="407"/>
      <c r="H123" s="407"/>
      <c r="I123" s="407"/>
      <c r="J123" s="407"/>
      <c r="K123" s="407"/>
      <c r="L123" s="407">
        <v>97.34</v>
      </c>
      <c r="M123" s="407"/>
      <c r="N123" s="407">
        <v>97.34</v>
      </c>
      <c r="O123" s="407"/>
      <c r="P123" s="407"/>
      <c r="Q123" s="306">
        <f t="shared" si="7"/>
        <v>97.34</v>
      </c>
      <c r="R123" s="307" t="str">
        <f t="shared" si="5"/>
        <v>NO</v>
      </c>
      <c r="S123" s="307" t="str">
        <f t="shared" si="6"/>
        <v>Inviable Sanitariamente</v>
      </c>
    </row>
    <row r="124" spans="1:19" s="189" customFormat="1" ht="32.1" customHeight="1">
      <c r="A124" s="404" t="s">
        <v>129</v>
      </c>
      <c r="B124" s="302" t="s">
        <v>1559</v>
      </c>
      <c r="C124" s="302" t="s">
        <v>3529</v>
      </c>
      <c r="D124" s="418">
        <v>15</v>
      </c>
      <c r="E124" s="407"/>
      <c r="F124" s="407"/>
      <c r="G124" s="407"/>
      <c r="H124" s="407"/>
      <c r="I124" s="407"/>
      <c r="J124" s="407"/>
      <c r="K124" s="407"/>
      <c r="L124" s="407">
        <v>0</v>
      </c>
      <c r="M124" s="407">
        <v>0</v>
      </c>
      <c r="N124" s="407"/>
      <c r="O124" s="407"/>
      <c r="P124" s="407"/>
      <c r="Q124" s="306">
        <f t="shared" si="7"/>
        <v>0</v>
      </c>
      <c r="R124" s="307" t="str">
        <f t="shared" si="5"/>
        <v>SI</v>
      </c>
      <c r="S124" s="307" t="str">
        <f t="shared" si="6"/>
        <v>Sin Riesgo</v>
      </c>
    </row>
    <row r="125" spans="1:19" s="189" customFormat="1" ht="32.1" customHeight="1">
      <c r="A125" s="404" t="s">
        <v>129</v>
      </c>
      <c r="B125" s="302" t="s">
        <v>16</v>
      </c>
      <c r="C125" s="302" t="s">
        <v>3530</v>
      </c>
      <c r="D125" s="419">
        <v>22</v>
      </c>
      <c r="E125" s="407"/>
      <c r="F125" s="407"/>
      <c r="G125" s="407"/>
      <c r="H125" s="407"/>
      <c r="I125" s="407"/>
      <c r="J125" s="407"/>
      <c r="K125" s="407"/>
      <c r="L125" s="407"/>
      <c r="M125" s="407">
        <v>97.34</v>
      </c>
      <c r="N125" s="407"/>
      <c r="O125" s="407"/>
      <c r="P125" s="407"/>
      <c r="Q125" s="306">
        <f t="shared" si="7"/>
        <v>97.34</v>
      </c>
      <c r="R125" s="307" t="str">
        <f t="shared" si="5"/>
        <v>NO</v>
      </c>
      <c r="S125" s="307" t="str">
        <f t="shared" si="6"/>
        <v>Inviable Sanitariamente</v>
      </c>
    </row>
    <row r="126" spans="1:19" s="56" customFormat="1" ht="32.1" customHeight="1">
      <c r="A126" s="562" t="s">
        <v>130</v>
      </c>
      <c r="B126" s="563" t="s">
        <v>3531</v>
      </c>
      <c r="C126" s="563" t="s">
        <v>3532</v>
      </c>
      <c r="D126" s="304">
        <v>158</v>
      </c>
      <c r="E126" s="305"/>
      <c r="F126" s="305">
        <v>97.4</v>
      </c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6">
        <f t="shared" si="7"/>
        <v>97.4</v>
      </c>
      <c r="R126" s="307" t="str">
        <f t="shared" si="5"/>
        <v>NO</v>
      </c>
      <c r="S126" s="307" t="str">
        <f t="shared" si="6"/>
        <v>Inviable Sanitariamente</v>
      </c>
    </row>
    <row r="127" spans="1:19" s="56" customFormat="1" ht="32.1" customHeight="1">
      <c r="A127" s="562" t="s">
        <v>130</v>
      </c>
      <c r="B127" s="563" t="s">
        <v>3</v>
      </c>
      <c r="C127" s="563" t="s">
        <v>3533</v>
      </c>
      <c r="D127" s="304">
        <v>49</v>
      </c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6"/>
      <c r="R127" s="307"/>
      <c r="S127" s="307"/>
    </row>
    <row r="128" spans="1:19" s="56" customFormat="1" ht="32.1" customHeight="1">
      <c r="A128" s="562" t="s">
        <v>130</v>
      </c>
      <c r="B128" s="563" t="s">
        <v>3534</v>
      </c>
      <c r="C128" s="563" t="s">
        <v>3535</v>
      </c>
      <c r="D128" s="304">
        <v>20</v>
      </c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6"/>
      <c r="R128" s="307"/>
      <c r="S128" s="307"/>
    </row>
    <row r="129" spans="1:19" s="56" customFormat="1" ht="32.1" customHeight="1">
      <c r="A129" s="562" t="s">
        <v>130</v>
      </c>
      <c r="B129" s="563" t="s">
        <v>3536</v>
      </c>
      <c r="C129" s="563" t="s">
        <v>3537</v>
      </c>
      <c r="D129" s="304">
        <v>45</v>
      </c>
      <c r="E129" s="305"/>
      <c r="F129" s="305"/>
      <c r="G129" s="305"/>
      <c r="H129" s="305"/>
      <c r="I129" s="305"/>
      <c r="J129" s="305"/>
      <c r="K129" s="305"/>
      <c r="L129" s="305"/>
      <c r="M129" s="305"/>
      <c r="N129" s="305">
        <v>97.4</v>
      </c>
      <c r="O129" s="305"/>
      <c r="P129" s="305"/>
      <c r="Q129" s="306">
        <f t="shared" si="7"/>
        <v>97.4</v>
      </c>
      <c r="R129" s="307" t="str">
        <f t="shared" si="5"/>
        <v>NO</v>
      </c>
      <c r="S129" s="307" t="str">
        <f t="shared" si="6"/>
        <v>Inviable Sanitariamente</v>
      </c>
    </row>
    <row r="130" spans="1:19" s="56" customFormat="1" ht="32.1" customHeight="1">
      <c r="A130" s="562" t="s">
        <v>130</v>
      </c>
      <c r="B130" s="563" t="s">
        <v>2468</v>
      </c>
      <c r="C130" s="563" t="s">
        <v>3538</v>
      </c>
      <c r="D130" s="304">
        <v>35</v>
      </c>
      <c r="E130" s="305"/>
      <c r="F130" s="305"/>
      <c r="G130" s="305"/>
      <c r="H130" s="305"/>
      <c r="I130" s="305"/>
      <c r="J130" s="305"/>
      <c r="K130" s="305"/>
      <c r="L130" s="305"/>
      <c r="M130" s="305"/>
      <c r="N130" s="305">
        <v>97.35</v>
      </c>
      <c r="O130" s="305"/>
      <c r="P130" s="305"/>
      <c r="Q130" s="306">
        <f t="shared" si="7"/>
        <v>97.35</v>
      </c>
      <c r="R130" s="307" t="str">
        <f t="shared" si="5"/>
        <v>NO</v>
      </c>
      <c r="S130" s="307" t="str">
        <f t="shared" si="6"/>
        <v>Inviable Sanitariamente</v>
      </c>
    </row>
    <row r="131" spans="1:19" s="56" customFormat="1" ht="32.1" customHeight="1">
      <c r="A131" s="562" t="s">
        <v>130</v>
      </c>
      <c r="B131" s="563" t="s">
        <v>1716</v>
      </c>
      <c r="C131" s="563" t="s">
        <v>3539</v>
      </c>
      <c r="D131" s="304">
        <v>425</v>
      </c>
      <c r="E131" s="305"/>
      <c r="F131" s="305"/>
      <c r="G131" s="305"/>
      <c r="H131" s="305"/>
      <c r="I131" s="305"/>
      <c r="J131" s="305">
        <v>100</v>
      </c>
      <c r="K131" s="305"/>
      <c r="L131" s="305"/>
      <c r="M131" s="305"/>
      <c r="N131" s="305"/>
      <c r="O131" s="305"/>
      <c r="P131" s="305"/>
      <c r="Q131" s="306">
        <f t="shared" si="7"/>
        <v>100</v>
      </c>
      <c r="R131" s="307" t="str">
        <f t="shared" si="5"/>
        <v>NO</v>
      </c>
      <c r="S131" s="307" t="str">
        <f t="shared" si="6"/>
        <v>Inviable Sanitariamente</v>
      </c>
    </row>
    <row r="132" spans="1:19" s="56" customFormat="1" ht="32.1" customHeight="1">
      <c r="A132" s="562" t="s">
        <v>130</v>
      </c>
      <c r="B132" s="563" t="s">
        <v>2468</v>
      </c>
      <c r="C132" s="563" t="s">
        <v>3540</v>
      </c>
      <c r="D132" s="304">
        <v>103</v>
      </c>
      <c r="E132" s="305"/>
      <c r="F132" s="305"/>
      <c r="G132" s="305">
        <v>97.3</v>
      </c>
      <c r="H132" s="305"/>
      <c r="I132" s="305"/>
      <c r="J132" s="305"/>
      <c r="K132" s="305"/>
      <c r="L132" s="305"/>
      <c r="M132" s="305"/>
      <c r="N132" s="305"/>
      <c r="O132" s="305"/>
      <c r="P132" s="305"/>
      <c r="Q132" s="306">
        <f t="shared" si="7"/>
        <v>97.3</v>
      </c>
      <c r="R132" s="307" t="str">
        <f t="shared" si="5"/>
        <v>NO</v>
      </c>
      <c r="S132" s="307" t="str">
        <f t="shared" si="6"/>
        <v>Inviable Sanitariamente</v>
      </c>
    </row>
    <row r="133" spans="1:19" s="56" customFormat="1" ht="38.25" customHeight="1">
      <c r="A133" s="562" t="s">
        <v>130</v>
      </c>
      <c r="B133" s="563" t="s">
        <v>3541</v>
      </c>
      <c r="C133" s="563" t="s">
        <v>3542</v>
      </c>
      <c r="D133" s="304">
        <v>40</v>
      </c>
      <c r="E133" s="305"/>
      <c r="F133" s="305"/>
      <c r="G133" s="305"/>
      <c r="H133" s="305"/>
      <c r="I133" s="305"/>
      <c r="J133" s="305"/>
      <c r="K133" s="305"/>
      <c r="L133" s="305">
        <v>97.35</v>
      </c>
      <c r="M133" s="305"/>
      <c r="N133" s="305"/>
      <c r="O133" s="305"/>
      <c r="P133" s="305"/>
      <c r="Q133" s="306">
        <f t="shared" si="7"/>
        <v>97.35</v>
      </c>
      <c r="R133" s="307" t="str">
        <f t="shared" si="5"/>
        <v>NO</v>
      </c>
      <c r="S133" s="307" t="str">
        <f t="shared" si="6"/>
        <v>Inviable Sanitariamente</v>
      </c>
    </row>
    <row r="134" spans="1:19" s="56" customFormat="1" ht="37.5" customHeight="1">
      <c r="A134" s="562" t="s">
        <v>130</v>
      </c>
      <c r="B134" s="563" t="s">
        <v>1795</v>
      </c>
      <c r="C134" s="563" t="s">
        <v>3543</v>
      </c>
      <c r="D134" s="304">
        <v>40</v>
      </c>
      <c r="E134" s="305"/>
      <c r="F134" s="305"/>
      <c r="G134" s="305">
        <v>97.3</v>
      </c>
      <c r="H134" s="305"/>
      <c r="I134" s="305"/>
      <c r="J134" s="305"/>
      <c r="K134" s="305"/>
      <c r="L134" s="305"/>
      <c r="M134" s="305"/>
      <c r="N134" s="305"/>
      <c r="O134" s="305"/>
      <c r="P134" s="305"/>
      <c r="Q134" s="306">
        <f t="shared" ref="Q134:Q149" si="8">AVERAGE(E134:P134)</f>
        <v>97.3</v>
      </c>
      <c r="R134" s="307" t="str">
        <f t="shared" ref="R134:R199" si="9">IF(Q134&lt;5,"SI","NO")</f>
        <v>NO</v>
      </c>
      <c r="S134" s="307" t="str">
        <f t="shared" ref="S134:S198" si="10">IF(Q134&lt;=5,"Sin Riesgo",IF(Q134 &lt;=14,"Bajo",IF(Q134&lt;=35,"Medio",IF(Q134&lt;=80,"Alto","Inviable Sanitariamente"))))</f>
        <v>Inviable Sanitariamente</v>
      </c>
    </row>
    <row r="135" spans="1:19" s="56" customFormat="1" ht="32.1" customHeight="1">
      <c r="A135" s="562" t="s">
        <v>130</v>
      </c>
      <c r="B135" s="563" t="s">
        <v>736</v>
      </c>
      <c r="C135" s="563" t="s">
        <v>3544</v>
      </c>
      <c r="D135" s="304">
        <v>45</v>
      </c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6"/>
      <c r="R135" s="307"/>
      <c r="S135" s="307"/>
    </row>
    <row r="136" spans="1:19" s="56" customFormat="1" ht="32.1" customHeight="1">
      <c r="A136" s="562" t="s">
        <v>130</v>
      </c>
      <c r="B136" s="563" t="s">
        <v>0</v>
      </c>
      <c r="C136" s="563" t="s">
        <v>3545</v>
      </c>
      <c r="D136" s="304">
        <v>12</v>
      </c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6"/>
      <c r="R136" s="307"/>
      <c r="S136" s="307"/>
    </row>
    <row r="137" spans="1:19" s="56" customFormat="1" ht="32.1" customHeight="1">
      <c r="A137" s="562" t="s">
        <v>130</v>
      </c>
      <c r="B137" s="563" t="s">
        <v>3546</v>
      </c>
      <c r="C137" s="563" t="s">
        <v>3547</v>
      </c>
      <c r="D137" s="304">
        <v>100</v>
      </c>
      <c r="E137" s="305"/>
      <c r="F137" s="305"/>
      <c r="G137" s="305"/>
      <c r="H137" s="305"/>
      <c r="I137" s="305"/>
      <c r="J137" s="305">
        <v>97.4</v>
      </c>
      <c r="K137" s="305"/>
      <c r="L137" s="305"/>
      <c r="M137" s="305"/>
      <c r="N137" s="305"/>
      <c r="O137" s="305"/>
      <c r="P137" s="305"/>
      <c r="Q137" s="306">
        <f t="shared" si="8"/>
        <v>97.4</v>
      </c>
      <c r="R137" s="307" t="str">
        <f t="shared" si="9"/>
        <v>NO</v>
      </c>
      <c r="S137" s="307" t="str">
        <f t="shared" si="10"/>
        <v>Inviable Sanitariamente</v>
      </c>
    </row>
    <row r="138" spans="1:19" s="56" customFormat="1" ht="32.1" customHeight="1">
      <c r="A138" s="562" t="s">
        <v>130</v>
      </c>
      <c r="B138" s="563" t="s">
        <v>1260</v>
      </c>
      <c r="C138" s="563" t="s">
        <v>3548</v>
      </c>
      <c r="D138" s="304">
        <v>13</v>
      </c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6"/>
      <c r="R138" s="307"/>
      <c r="S138" s="307"/>
    </row>
    <row r="139" spans="1:19" s="56" customFormat="1" ht="32.1" customHeight="1">
      <c r="A139" s="562" t="s">
        <v>130</v>
      </c>
      <c r="B139" s="563" t="s">
        <v>3549</v>
      </c>
      <c r="C139" s="563" t="s">
        <v>3550</v>
      </c>
      <c r="D139" s="304">
        <v>16</v>
      </c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6"/>
      <c r="R139" s="307"/>
      <c r="S139" s="307"/>
    </row>
    <row r="140" spans="1:19" s="56" customFormat="1" ht="32.1" customHeight="1">
      <c r="A140" s="562" t="s">
        <v>130</v>
      </c>
      <c r="B140" s="563" t="s">
        <v>3551</v>
      </c>
      <c r="C140" s="563" t="s">
        <v>3552</v>
      </c>
      <c r="D140" s="304">
        <v>28</v>
      </c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6"/>
      <c r="R140" s="307"/>
      <c r="S140" s="307"/>
    </row>
    <row r="141" spans="1:19" s="56" customFormat="1" ht="32.1" customHeight="1">
      <c r="A141" s="562" t="s">
        <v>130</v>
      </c>
      <c r="B141" s="563" t="s">
        <v>3553</v>
      </c>
      <c r="C141" s="563" t="s">
        <v>3554</v>
      </c>
      <c r="D141" s="304">
        <v>16</v>
      </c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6"/>
      <c r="R141" s="307"/>
      <c r="S141" s="307"/>
    </row>
    <row r="142" spans="1:19" s="56" customFormat="1" ht="32.1" customHeight="1">
      <c r="A142" s="562" t="s">
        <v>130</v>
      </c>
      <c r="B142" s="563" t="s">
        <v>3555</v>
      </c>
      <c r="C142" s="563" t="s">
        <v>3556</v>
      </c>
      <c r="D142" s="304">
        <v>68</v>
      </c>
      <c r="E142" s="305"/>
      <c r="F142" s="305"/>
      <c r="G142" s="305"/>
      <c r="H142" s="305"/>
      <c r="I142" s="305"/>
      <c r="J142" s="305"/>
      <c r="K142" s="305"/>
      <c r="L142" s="305"/>
      <c r="M142" s="305"/>
      <c r="N142" s="305">
        <v>97.35</v>
      </c>
      <c r="O142" s="305"/>
      <c r="P142" s="305"/>
      <c r="Q142" s="306">
        <f t="shared" si="8"/>
        <v>97.35</v>
      </c>
      <c r="R142" s="307" t="str">
        <f t="shared" si="9"/>
        <v>NO</v>
      </c>
      <c r="S142" s="307" t="str">
        <f t="shared" si="10"/>
        <v>Inviable Sanitariamente</v>
      </c>
    </row>
    <row r="143" spans="1:19" s="56" customFormat="1" ht="32.1" customHeight="1">
      <c r="A143" s="562" t="s">
        <v>130</v>
      </c>
      <c r="B143" s="563" t="s">
        <v>3557</v>
      </c>
      <c r="C143" s="563" t="s">
        <v>3558</v>
      </c>
      <c r="D143" s="304">
        <v>21</v>
      </c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6"/>
      <c r="R143" s="307"/>
      <c r="S143" s="307"/>
    </row>
    <row r="144" spans="1:19" s="56" customFormat="1" ht="32.1" customHeight="1">
      <c r="A144" s="584" t="s">
        <v>130</v>
      </c>
      <c r="B144" s="563" t="s">
        <v>1695</v>
      </c>
      <c r="C144" s="563" t="s">
        <v>3559</v>
      </c>
      <c r="D144" s="304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6"/>
      <c r="R144" s="307"/>
      <c r="S144" s="307"/>
    </row>
    <row r="145" spans="1:19" s="56" customFormat="1" ht="32.1" customHeight="1">
      <c r="A145" s="562" t="s">
        <v>130</v>
      </c>
      <c r="B145" s="563" t="s">
        <v>3560</v>
      </c>
      <c r="C145" s="563" t="s">
        <v>3561</v>
      </c>
      <c r="D145" s="304">
        <v>27</v>
      </c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6"/>
      <c r="R145" s="307"/>
      <c r="S145" s="307"/>
    </row>
    <row r="146" spans="1:19" s="56" customFormat="1" ht="32.1" customHeight="1">
      <c r="A146" s="562" t="s">
        <v>130</v>
      </c>
      <c r="B146" s="563" t="s">
        <v>2833</v>
      </c>
      <c r="C146" s="563" t="s">
        <v>3562</v>
      </c>
      <c r="D146" s="304">
        <v>73</v>
      </c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6"/>
      <c r="R146" s="307"/>
      <c r="S146" s="307"/>
    </row>
    <row r="147" spans="1:19" s="56" customFormat="1" ht="32.1" customHeight="1">
      <c r="A147" s="562" t="s">
        <v>130</v>
      </c>
      <c r="B147" s="563" t="s">
        <v>3563</v>
      </c>
      <c r="C147" s="563" t="s">
        <v>3564</v>
      </c>
      <c r="D147" s="304">
        <v>18</v>
      </c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6"/>
      <c r="R147" s="307"/>
      <c r="S147" s="307"/>
    </row>
    <row r="148" spans="1:19" s="56" customFormat="1" ht="32.1" customHeight="1">
      <c r="A148" s="564" t="s">
        <v>130</v>
      </c>
      <c r="B148" s="563" t="s">
        <v>3565</v>
      </c>
      <c r="C148" s="563" t="s">
        <v>3566</v>
      </c>
      <c r="D148" s="346">
        <v>19</v>
      </c>
      <c r="E148" s="47"/>
      <c r="F148" s="47"/>
      <c r="G148" s="47"/>
      <c r="H148" s="47"/>
      <c r="I148" s="47"/>
      <c r="J148" s="47">
        <v>96.39</v>
      </c>
      <c r="K148" s="47"/>
      <c r="L148" s="47"/>
      <c r="M148" s="47"/>
      <c r="N148" s="47"/>
      <c r="O148" s="47"/>
      <c r="P148" s="47"/>
      <c r="Q148" s="306">
        <f t="shared" si="8"/>
        <v>96.39</v>
      </c>
      <c r="R148" s="307" t="str">
        <f t="shared" si="9"/>
        <v>NO</v>
      </c>
      <c r="S148" s="307" t="str">
        <f t="shared" si="10"/>
        <v>Inviable Sanitariamente</v>
      </c>
    </row>
    <row r="149" spans="1:19" s="56" customFormat="1" ht="32.1" customHeight="1">
      <c r="A149" s="564" t="s">
        <v>130</v>
      </c>
      <c r="B149" s="563" t="s">
        <v>1367</v>
      </c>
      <c r="C149" s="563" t="s">
        <v>3567</v>
      </c>
      <c r="D149" s="346">
        <v>14</v>
      </c>
      <c r="E149" s="47"/>
      <c r="F149" s="47"/>
      <c r="G149" s="47"/>
      <c r="H149" s="47"/>
      <c r="I149" s="47"/>
      <c r="J149" s="47">
        <v>96.39</v>
      </c>
      <c r="K149" s="47"/>
      <c r="L149" s="47"/>
      <c r="M149" s="47"/>
      <c r="N149" s="47"/>
      <c r="O149" s="47"/>
      <c r="P149" s="47"/>
      <c r="Q149" s="306">
        <f t="shared" si="8"/>
        <v>96.39</v>
      </c>
      <c r="R149" s="307" t="str">
        <f t="shared" si="9"/>
        <v>NO</v>
      </c>
      <c r="S149" s="307" t="str">
        <f t="shared" si="10"/>
        <v>Inviable Sanitariamente</v>
      </c>
    </row>
    <row r="150" spans="1:19" s="56" customFormat="1" ht="32.1" customHeight="1">
      <c r="A150" s="562" t="s">
        <v>130</v>
      </c>
      <c r="B150" s="563" t="s">
        <v>3568</v>
      </c>
      <c r="C150" s="563" t="s">
        <v>3569</v>
      </c>
      <c r="D150" s="304">
        <v>12</v>
      </c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6">
        <f t="shared" ref="Q150:Q156" si="11">AVERAGE(E152:P152)</f>
        <v>97.4</v>
      </c>
      <c r="R150" s="307" t="str">
        <f t="shared" si="9"/>
        <v>NO</v>
      </c>
      <c r="S150" s="307" t="str">
        <f t="shared" si="10"/>
        <v>Inviable Sanitariamente</v>
      </c>
    </row>
    <row r="151" spans="1:19" s="56" customFormat="1" ht="32.1" customHeight="1">
      <c r="A151" s="562" t="s">
        <v>130</v>
      </c>
      <c r="B151" s="563" t="s">
        <v>2</v>
      </c>
      <c r="C151" s="563" t="s">
        <v>3570</v>
      </c>
      <c r="D151" s="304">
        <v>21</v>
      </c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>
        <v>97.4</v>
      </c>
      <c r="P151" s="305"/>
      <c r="Q151" s="306">
        <f>AVERAGE(E151:P151)</f>
        <v>97.4</v>
      </c>
      <c r="R151" s="307" t="str">
        <f t="shared" si="9"/>
        <v>NO</v>
      </c>
      <c r="S151" s="307" t="str">
        <f t="shared" si="10"/>
        <v>Inviable Sanitariamente</v>
      </c>
    </row>
    <row r="152" spans="1:19" s="56" customFormat="1" ht="32.1" customHeight="1">
      <c r="A152" s="562" t="s">
        <v>130</v>
      </c>
      <c r="B152" s="563" t="s">
        <v>3571</v>
      </c>
      <c r="C152" s="563" t="s">
        <v>3572</v>
      </c>
      <c r="D152" s="304">
        <v>20</v>
      </c>
      <c r="E152" s="305"/>
      <c r="F152" s="305"/>
      <c r="G152" s="305"/>
      <c r="H152" s="305"/>
      <c r="I152" s="305"/>
      <c r="J152" s="305"/>
      <c r="K152" s="305"/>
      <c r="L152" s="305"/>
      <c r="M152" s="305"/>
      <c r="N152" s="305">
        <v>97.4</v>
      </c>
      <c r="O152" s="305"/>
      <c r="P152" s="305"/>
      <c r="Q152" s="306">
        <f>AVERAGE(E152:P152)</f>
        <v>97.4</v>
      </c>
      <c r="R152" s="307" t="str">
        <f t="shared" si="9"/>
        <v>NO</v>
      </c>
      <c r="S152" s="307" t="str">
        <f t="shared" si="10"/>
        <v>Inviable Sanitariamente</v>
      </c>
    </row>
    <row r="153" spans="1:19" s="56" customFormat="1" ht="32.1" customHeight="1">
      <c r="A153" s="562" t="s">
        <v>130</v>
      </c>
      <c r="B153" s="563" t="s">
        <v>3573</v>
      </c>
      <c r="C153" s="563" t="s">
        <v>3574</v>
      </c>
      <c r="D153" s="304">
        <v>38</v>
      </c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6"/>
      <c r="R153" s="307"/>
      <c r="S153" s="307"/>
    </row>
    <row r="154" spans="1:19" s="56" customFormat="1" ht="32.1" customHeight="1">
      <c r="A154" s="562" t="s">
        <v>130</v>
      </c>
      <c r="B154" s="563" t="s">
        <v>1372</v>
      </c>
      <c r="C154" s="563" t="s">
        <v>3575</v>
      </c>
      <c r="D154" s="304">
        <v>40</v>
      </c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6"/>
      <c r="R154" s="307"/>
      <c r="S154" s="307"/>
    </row>
    <row r="155" spans="1:19" s="56" customFormat="1" ht="32.1" customHeight="1">
      <c r="A155" s="562" t="s">
        <v>130</v>
      </c>
      <c r="B155" s="563" t="s">
        <v>3576</v>
      </c>
      <c r="C155" s="563" t="s">
        <v>3577</v>
      </c>
      <c r="D155" s="304">
        <v>17</v>
      </c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6"/>
      <c r="R155" s="307"/>
      <c r="S155" s="307"/>
    </row>
    <row r="156" spans="1:19" s="56" customFormat="1" ht="32.1" customHeight="1">
      <c r="A156" s="562" t="s">
        <v>130</v>
      </c>
      <c r="B156" s="563" t="s">
        <v>3578</v>
      </c>
      <c r="C156" s="563" t="s">
        <v>3579</v>
      </c>
      <c r="D156" s="304">
        <v>12</v>
      </c>
      <c r="E156" s="305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05"/>
      <c r="Q156" s="306">
        <f t="shared" si="11"/>
        <v>97.3</v>
      </c>
      <c r="R156" s="307" t="str">
        <f t="shared" si="9"/>
        <v>NO</v>
      </c>
      <c r="S156" s="307" t="str">
        <f t="shared" si="10"/>
        <v>Inviable Sanitariamente</v>
      </c>
    </row>
    <row r="157" spans="1:19" s="56" customFormat="1" ht="32.1" customHeight="1">
      <c r="A157" s="562" t="s">
        <v>130</v>
      </c>
      <c r="B157" s="563" t="s">
        <v>2606</v>
      </c>
      <c r="C157" s="563" t="s">
        <v>3580</v>
      </c>
      <c r="D157" s="304">
        <v>45</v>
      </c>
      <c r="E157" s="305"/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305"/>
      <c r="Q157" s="306"/>
      <c r="R157" s="307"/>
      <c r="S157" s="307"/>
    </row>
    <row r="158" spans="1:19" s="56" customFormat="1" ht="32.1" customHeight="1">
      <c r="A158" s="562" t="s">
        <v>130</v>
      </c>
      <c r="B158" s="563" t="s">
        <v>3581</v>
      </c>
      <c r="C158" s="563" t="s">
        <v>3582</v>
      </c>
      <c r="D158" s="304">
        <v>30</v>
      </c>
      <c r="E158" s="305"/>
      <c r="F158" s="305">
        <v>97.3</v>
      </c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6">
        <f>AVERAGE(E158:P158)</f>
        <v>97.3</v>
      </c>
      <c r="R158" s="307" t="str">
        <f t="shared" si="9"/>
        <v>NO</v>
      </c>
      <c r="S158" s="307" t="str">
        <f t="shared" si="10"/>
        <v>Inviable Sanitariamente</v>
      </c>
    </row>
    <row r="159" spans="1:19" s="56" customFormat="1" ht="32.1" customHeight="1">
      <c r="A159" s="564" t="s">
        <v>130</v>
      </c>
      <c r="B159" s="563" t="s">
        <v>3583</v>
      </c>
      <c r="C159" s="563" t="s">
        <v>3584</v>
      </c>
      <c r="D159" s="346">
        <v>20</v>
      </c>
      <c r="E159" s="47">
        <v>96.39</v>
      </c>
      <c r="F159" s="47">
        <v>96.39</v>
      </c>
      <c r="G159" s="47"/>
      <c r="H159" s="47">
        <v>60.24</v>
      </c>
      <c r="I159" s="47">
        <v>64</v>
      </c>
      <c r="J159" s="47">
        <v>88</v>
      </c>
      <c r="K159" s="47">
        <v>88</v>
      </c>
      <c r="L159" s="47">
        <v>86.61</v>
      </c>
      <c r="M159" s="47"/>
      <c r="N159" s="47">
        <v>48</v>
      </c>
      <c r="O159" s="47">
        <v>88</v>
      </c>
      <c r="P159" s="47"/>
      <c r="Q159" s="306">
        <v>87.7</v>
      </c>
      <c r="R159" s="307" t="str">
        <f t="shared" si="9"/>
        <v>NO</v>
      </c>
      <c r="S159" s="307" t="str">
        <f t="shared" si="10"/>
        <v>Inviable Sanitariamente</v>
      </c>
    </row>
    <row r="160" spans="1:19" s="56" customFormat="1" ht="32.1" customHeight="1">
      <c r="A160" s="562" t="s">
        <v>130</v>
      </c>
      <c r="B160" s="563" t="s">
        <v>2001</v>
      </c>
      <c r="C160" s="563" t="s">
        <v>3585</v>
      </c>
      <c r="D160" s="304">
        <v>40</v>
      </c>
      <c r="E160" s="305"/>
      <c r="F160" s="305"/>
      <c r="G160" s="305"/>
      <c r="H160" s="305"/>
      <c r="I160" s="305">
        <v>97.3</v>
      </c>
      <c r="J160" s="305"/>
      <c r="K160" s="305"/>
      <c r="L160" s="305"/>
      <c r="M160" s="305"/>
      <c r="N160" s="305"/>
      <c r="O160" s="305"/>
      <c r="P160" s="305"/>
      <c r="Q160" s="306">
        <v>97.3</v>
      </c>
      <c r="R160" s="307" t="str">
        <f t="shared" si="9"/>
        <v>NO</v>
      </c>
      <c r="S160" s="307" t="str">
        <f t="shared" si="10"/>
        <v>Inviable Sanitariamente</v>
      </c>
    </row>
    <row r="161" spans="1:20" s="56" customFormat="1" ht="32.1" customHeight="1">
      <c r="A161" s="562" t="s">
        <v>130</v>
      </c>
      <c r="B161" s="563" t="s">
        <v>3586</v>
      </c>
      <c r="C161" s="563" t="s">
        <v>3587</v>
      </c>
      <c r="D161" s="304">
        <v>60</v>
      </c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6">
        <v>97.3</v>
      </c>
      <c r="R161" s="307" t="str">
        <f>IF(Q161&lt;5,"SI","NO")</f>
        <v>NO</v>
      </c>
      <c r="S161" s="307" t="str">
        <f t="shared" si="10"/>
        <v>Inviable Sanitariamente</v>
      </c>
    </row>
    <row r="162" spans="1:20" s="56" customFormat="1" ht="32.1" customHeight="1">
      <c r="A162" s="562" t="s">
        <v>130</v>
      </c>
      <c r="B162" s="563" t="s">
        <v>4048</v>
      </c>
      <c r="C162" s="563" t="s">
        <v>4049</v>
      </c>
      <c r="D162" s="304">
        <v>130</v>
      </c>
      <c r="E162" s="305"/>
      <c r="F162" s="305">
        <v>97.35</v>
      </c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6">
        <v>97.3</v>
      </c>
      <c r="R162" s="307" t="str">
        <f t="shared" si="9"/>
        <v>NO</v>
      </c>
      <c r="S162" s="307" t="str">
        <f t="shared" si="10"/>
        <v>Inviable Sanitariamente</v>
      </c>
    </row>
    <row r="163" spans="1:20" s="56" customFormat="1" ht="32.1" customHeight="1">
      <c r="A163" s="404" t="s">
        <v>131</v>
      </c>
      <c r="B163" s="302" t="s">
        <v>3588</v>
      </c>
      <c r="C163" s="303" t="s">
        <v>3589</v>
      </c>
      <c r="D163" s="418">
        <v>50</v>
      </c>
      <c r="E163" s="407"/>
      <c r="F163" s="407"/>
      <c r="G163" s="407"/>
      <c r="H163" s="407"/>
      <c r="I163" s="407"/>
      <c r="J163" s="407"/>
      <c r="K163" s="407">
        <v>97.35</v>
      </c>
      <c r="L163" s="407"/>
      <c r="M163" s="407"/>
      <c r="N163" s="407"/>
      <c r="O163" s="407"/>
      <c r="P163" s="407"/>
      <c r="Q163" s="306">
        <f t="shared" ref="Q163:Q196" si="12">AVERAGE(E163:P163)</f>
        <v>97.35</v>
      </c>
      <c r="R163" s="307" t="str">
        <f t="shared" si="9"/>
        <v>NO</v>
      </c>
      <c r="S163" s="307" t="str">
        <f t="shared" si="10"/>
        <v>Inviable Sanitariamente</v>
      </c>
    </row>
    <row r="164" spans="1:20" s="56" customFormat="1" ht="32.1" customHeight="1">
      <c r="A164" s="404" t="s">
        <v>131</v>
      </c>
      <c r="B164" s="302" t="s">
        <v>3590</v>
      </c>
      <c r="C164" s="303" t="s">
        <v>3591</v>
      </c>
      <c r="D164" s="418">
        <v>45</v>
      </c>
      <c r="E164" s="407"/>
      <c r="F164" s="407"/>
      <c r="G164" s="407"/>
      <c r="H164" s="407"/>
      <c r="I164" s="407"/>
      <c r="J164" s="407"/>
      <c r="K164" s="407">
        <v>97.35</v>
      </c>
      <c r="L164" s="407"/>
      <c r="M164" s="407"/>
      <c r="N164" s="407"/>
      <c r="O164" s="407"/>
      <c r="P164" s="407"/>
      <c r="Q164" s="306">
        <f t="shared" si="12"/>
        <v>97.35</v>
      </c>
      <c r="R164" s="307" t="str">
        <f t="shared" si="9"/>
        <v>NO</v>
      </c>
      <c r="S164" s="307" t="str">
        <f t="shared" si="10"/>
        <v>Inviable Sanitariamente</v>
      </c>
    </row>
    <row r="165" spans="1:20" s="56" customFormat="1" ht="32.1" customHeight="1">
      <c r="A165" s="404" t="s">
        <v>131</v>
      </c>
      <c r="B165" s="302" t="s">
        <v>1559</v>
      </c>
      <c r="C165" s="303" t="s">
        <v>3592</v>
      </c>
      <c r="D165" s="418">
        <v>18</v>
      </c>
      <c r="E165" s="407"/>
      <c r="F165" s="407"/>
      <c r="G165" s="407">
        <v>56.5</v>
      </c>
      <c r="H165" s="407"/>
      <c r="I165" s="407"/>
      <c r="J165" s="407"/>
      <c r="K165" s="407"/>
      <c r="L165" s="407"/>
      <c r="M165" s="407"/>
      <c r="N165" s="407"/>
      <c r="O165" s="407"/>
      <c r="P165" s="407"/>
      <c r="Q165" s="306">
        <f t="shared" si="12"/>
        <v>56.5</v>
      </c>
      <c r="R165" s="307" t="str">
        <f t="shared" si="9"/>
        <v>NO</v>
      </c>
      <c r="S165" s="307" t="str">
        <f t="shared" si="10"/>
        <v>Alto</v>
      </c>
    </row>
    <row r="166" spans="1:20" s="56" customFormat="1" ht="32.1" customHeight="1">
      <c r="A166" s="562" t="s">
        <v>131</v>
      </c>
      <c r="B166" s="563" t="s">
        <v>3593</v>
      </c>
      <c r="C166" s="582" t="s">
        <v>3594</v>
      </c>
      <c r="D166" s="304">
        <v>38</v>
      </c>
      <c r="E166" s="305"/>
      <c r="F166" s="305"/>
      <c r="G166" s="305"/>
      <c r="H166" s="305">
        <v>53.9</v>
      </c>
      <c r="I166" s="305"/>
      <c r="J166" s="305"/>
      <c r="K166" s="305"/>
      <c r="L166" s="305"/>
      <c r="M166" s="305"/>
      <c r="N166" s="305"/>
      <c r="O166" s="305"/>
      <c r="P166" s="305"/>
      <c r="Q166" s="306">
        <f t="shared" si="12"/>
        <v>53.9</v>
      </c>
      <c r="R166" s="307" t="str">
        <f t="shared" si="9"/>
        <v>NO</v>
      </c>
      <c r="S166" s="307" t="str">
        <f t="shared" si="10"/>
        <v>Alto</v>
      </c>
      <c r="T166" s="57"/>
    </row>
    <row r="167" spans="1:20" s="56" customFormat="1" ht="32.1" customHeight="1">
      <c r="A167" s="562" t="s">
        <v>131</v>
      </c>
      <c r="B167" s="563" t="s">
        <v>811</v>
      </c>
      <c r="C167" s="582" t="s">
        <v>3595</v>
      </c>
      <c r="D167" s="304">
        <v>28</v>
      </c>
      <c r="E167" s="305"/>
      <c r="F167" s="305"/>
      <c r="G167" s="305"/>
      <c r="H167" s="305">
        <v>53.9</v>
      </c>
      <c r="I167" s="305"/>
      <c r="J167" s="305"/>
      <c r="K167" s="305"/>
      <c r="L167" s="305"/>
      <c r="M167" s="305"/>
      <c r="N167" s="305"/>
      <c r="O167" s="305"/>
      <c r="P167" s="305"/>
      <c r="Q167" s="306">
        <f t="shared" si="12"/>
        <v>53.9</v>
      </c>
      <c r="R167" s="307" t="str">
        <f t="shared" si="9"/>
        <v>NO</v>
      </c>
      <c r="S167" s="307" t="str">
        <f t="shared" si="10"/>
        <v>Alto</v>
      </c>
      <c r="T167" s="57"/>
    </row>
    <row r="168" spans="1:20" s="56" customFormat="1" ht="32.1" customHeight="1">
      <c r="A168" s="562" t="s">
        <v>131</v>
      </c>
      <c r="B168" s="563" t="s">
        <v>1139</v>
      </c>
      <c r="C168" s="582" t="s">
        <v>3596</v>
      </c>
      <c r="D168" s="304">
        <v>49</v>
      </c>
      <c r="E168" s="305"/>
      <c r="F168" s="305"/>
      <c r="G168" s="305"/>
      <c r="H168" s="305"/>
      <c r="I168" s="305"/>
      <c r="J168" s="305">
        <v>53.9</v>
      </c>
      <c r="K168" s="305"/>
      <c r="L168" s="305"/>
      <c r="M168" s="305"/>
      <c r="N168" s="305"/>
      <c r="O168" s="305"/>
      <c r="P168" s="305"/>
      <c r="Q168" s="306">
        <f t="shared" si="12"/>
        <v>53.9</v>
      </c>
      <c r="R168" s="307" t="str">
        <f t="shared" si="9"/>
        <v>NO</v>
      </c>
      <c r="S168" s="307" t="str">
        <f t="shared" si="10"/>
        <v>Alto</v>
      </c>
      <c r="T168" s="57"/>
    </row>
    <row r="169" spans="1:20" s="56" customFormat="1" ht="32.1" customHeight="1">
      <c r="A169" s="562" t="s">
        <v>131</v>
      </c>
      <c r="B169" s="563" t="s">
        <v>1368</v>
      </c>
      <c r="C169" s="582" t="s">
        <v>3597</v>
      </c>
      <c r="D169" s="304">
        <v>30</v>
      </c>
      <c r="E169" s="305"/>
      <c r="F169" s="305"/>
      <c r="G169" s="305"/>
      <c r="H169" s="305">
        <v>53.9</v>
      </c>
      <c r="I169" s="305"/>
      <c r="J169" s="305"/>
      <c r="K169" s="305"/>
      <c r="L169" s="305"/>
      <c r="M169" s="305"/>
      <c r="N169" s="305"/>
      <c r="O169" s="305"/>
      <c r="P169" s="305"/>
      <c r="Q169" s="306">
        <f t="shared" si="12"/>
        <v>53.9</v>
      </c>
      <c r="R169" s="307" t="str">
        <f t="shared" si="9"/>
        <v>NO</v>
      </c>
      <c r="S169" s="307" t="str">
        <f t="shared" si="10"/>
        <v>Alto</v>
      </c>
      <c r="T169" s="57"/>
    </row>
    <row r="170" spans="1:20" s="56" customFormat="1" ht="32.1" customHeight="1">
      <c r="A170" s="562" t="s">
        <v>131</v>
      </c>
      <c r="B170" s="563" t="s">
        <v>2918</v>
      </c>
      <c r="C170" s="582" t="s">
        <v>3598</v>
      </c>
      <c r="D170" s="304">
        <v>11</v>
      </c>
      <c r="E170" s="305"/>
      <c r="F170" s="305">
        <v>97.3</v>
      </c>
      <c r="G170" s="305"/>
      <c r="H170" s="305"/>
      <c r="I170" s="305"/>
      <c r="J170" s="305"/>
      <c r="K170" s="305"/>
      <c r="L170" s="305"/>
      <c r="M170" s="305"/>
      <c r="N170" s="305"/>
      <c r="O170" s="305"/>
      <c r="P170" s="305"/>
      <c r="Q170" s="306">
        <f t="shared" si="12"/>
        <v>97.3</v>
      </c>
      <c r="R170" s="307" t="str">
        <f t="shared" si="9"/>
        <v>NO</v>
      </c>
      <c r="S170" s="307" t="str">
        <f t="shared" si="10"/>
        <v>Inviable Sanitariamente</v>
      </c>
      <c r="T170" s="57"/>
    </row>
    <row r="171" spans="1:20" s="56" customFormat="1" ht="32.1" customHeight="1">
      <c r="A171" s="564" t="s">
        <v>131</v>
      </c>
      <c r="B171" s="565" t="s">
        <v>623</v>
      </c>
      <c r="C171" s="582" t="s">
        <v>3599</v>
      </c>
      <c r="D171" s="346">
        <v>25</v>
      </c>
      <c r="E171" s="47"/>
      <c r="F171" s="47"/>
      <c r="G171" s="528">
        <v>53.1</v>
      </c>
      <c r="H171" s="407"/>
      <c r="I171" s="407"/>
      <c r="J171" s="407"/>
      <c r="K171" s="407"/>
      <c r="L171" s="407"/>
      <c r="M171" s="407"/>
      <c r="N171" s="405">
        <v>53.1</v>
      </c>
      <c r="O171" s="407"/>
      <c r="P171" s="407"/>
      <c r="Q171" s="424">
        <f>AVERAGE(E171:P171)</f>
        <v>53.1</v>
      </c>
      <c r="R171" s="307" t="str">
        <f t="shared" si="9"/>
        <v>NO</v>
      </c>
      <c r="S171" s="307" t="str">
        <f t="shared" si="10"/>
        <v>Alto</v>
      </c>
      <c r="T171" s="57"/>
    </row>
    <row r="172" spans="1:20" s="56" customFormat="1" ht="32.1" customHeight="1">
      <c r="A172" s="564" t="s">
        <v>131</v>
      </c>
      <c r="B172" s="563" t="s">
        <v>3600</v>
      </c>
      <c r="C172" s="582" t="s">
        <v>2599</v>
      </c>
      <c r="D172" s="346">
        <v>62</v>
      </c>
      <c r="E172" s="47"/>
      <c r="F172" s="47"/>
      <c r="G172" s="528"/>
      <c r="H172" s="407"/>
      <c r="I172" s="407"/>
      <c r="J172" s="407">
        <v>97.4</v>
      </c>
      <c r="K172" s="407"/>
      <c r="L172" s="407"/>
      <c r="M172" s="407"/>
      <c r="N172" s="407"/>
      <c r="O172" s="407"/>
      <c r="P172" s="407"/>
      <c r="Q172" s="306">
        <f t="shared" si="12"/>
        <v>97.4</v>
      </c>
      <c r="R172" s="307" t="str">
        <f t="shared" si="9"/>
        <v>NO</v>
      </c>
      <c r="S172" s="307" t="str">
        <f t="shared" si="10"/>
        <v>Inviable Sanitariamente</v>
      </c>
      <c r="T172" s="57"/>
    </row>
    <row r="173" spans="1:20" s="56" customFormat="1" ht="32.1" customHeight="1">
      <c r="A173" s="564" t="s">
        <v>131</v>
      </c>
      <c r="B173" s="563" t="s">
        <v>652</v>
      </c>
      <c r="C173" s="582" t="s">
        <v>3167</v>
      </c>
      <c r="D173" s="346">
        <v>17</v>
      </c>
      <c r="E173" s="47"/>
      <c r="F173" s="47"/>
      <c r="G173" s="528"/>
      <c r="H173" s="407"/>
      <c r="I173" s="407"/>
      <c r="J173" s="407"/>
      <c r="K173" s="407"/>
      <c r="L173" s="407">
        <v>53.9</v>
      </c>
      <c r="M173" s="407"/>
      <c r="N173" s="407"/>
      <c r="O173" s="407"/>
      <c r="P173" s="407"/>
      <c r="Q173" s="306">
        <f t="shared" si="12"/>
        <v>53.9</v>
      </c>
      <c r="R173" s="307" t="str">
        <f t="shared" si="9"/>
        <v>NO</v>
      </c>
      <c r="S173" s="307" t="str">
        <f t="shared" si="10"/>
        <v>Alto</v>
      </c>
      <c r="T173" s="57"/>
    </row>
    <row r="174" spans="1:20" s="56" customFormat="1" ht="32.1" customHeight="1">
      <c r="A174" s="562" t="s">
        <v>131</v>
      </c>
      <c r="B174" s="563" t="s">
        <v>3601</v>
      </c>
      <c r="C174" s="582" t="s">
        <v>3602</v>
      </c>
      <c r="D174" s="304">
        <v>35</v>
      </c>
      <c r="E174" s="305"/>
      <c r="F174" s="305"/>
      <c r="G174" s="305">
        <v>53.9</v>
      </c>
      <c r="H174" s="305"/>
      <c r="I174" s="305"/>
      <c r="J174" s="305"/>
      <c r="K174" s="305"/>
      <c r="L174" s="305"/>
      <c r="M174" s="305"/>
      <c r="N174" s="305"/>
      <c r="O174" s="305"/>
      <c r="P174" s="305"/>
      <c r="Q174" s="306">
        <f t="shared" si="12"/>
        <v>53.9</v>
      </c>
      <c r="R174" s="307" t="str">
        <f t="shared" si="9"/>
        <v>NO</v>
      </c>
      <c r="S174" s="307" t="str">
        <f t="shared" si="10"/>
        <v>Alto</v>
      </c>
      <c r="T174" s="57"/>
    </row>
    <row r="175" spans="1:20" s="56" customFormat="1" ht="32.1" customHeight="1">
      <c r="A175" s="562" t="s">
        <v>131</v>
      </c>
      <c r="B175" s="563" t="s">
        <v>865</v>
      </c>
      <c r="C175" s="582" t="s">
        <v>3603</v>
      </c>
      <c r="D175" s="304">
        <v>16</v>
      </c>
      <c r="E175" s="305"/>
      <c r="F175" s="305"/>
      <c r="G175" s="305"/>
      <c r="H175" s="305">
        <v>53.9</v>
      </c>
      <c r="I175" s="305"/>
      <c r="J175" s="305"/>
      <c r="K175" s="305"/>
      <c r="L175" s="305"/>
      <c r="M175" s="305"/>
      <c r="N175" s="305"/>
      <c r="O175" s="305"/>
      <c r="P175" s="305"/>
      <c r="Q175" s="306">
        <f t="shared" si="12"/>
        <v>53.9</v>
      </c>
      <c r="R175" s="307" t="str">
        <f t="shared" si="9"/>
        <v>NO</v>
      </c>
      <c r="S175" s="307" t="str">
        <f t="shared" si="10"/>
        <v>Alto</v>
      </c>
      <c r="T175" s="57"/>
    </row>
    <row r="176" spans="1:20" s="56" customFormat="1" ht="32.1" customHeight="1">
      <c r="A176" s="562" t="s">
        <v>131</v>
      </c>
      <c r="B176" s="563" t="s">
        <v>66</v>
      </c>
      <c r="C176" s="582" t="s">
        <v>3604</v>
      </c>
      <c r="D176" s="304">
        <v>25</v>
      </c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  <c r="Q176" s="306"/>
      <c r="R176" s="307"/>
      <c r="S176" s="307"/>
      <c r="T176" s="57"/>
    </row>
    <row r="177" spans="1:20" s="56" customFormat="1" ht="32.1" customHeight="1">
      <c r="A177" s="562" t="s">
        <v>131</v>
      </c>
      <c r="B177" s="563" t="s">
        <v>3605</v>
      </c>
      <c r="C177" s="582" t="s">
        <v>3606</v>
      </c>
      <c r="D177" s="304">
        <v>29</v>
      </c>
      <c r="E177" s="305"/>
      <c r="F177" s="305"/>
      <c r="G177" s="305"/>
      <c r="H177" s="305"/>
      <c r="I177" s="305">
        <v>53.9</v>
      </c>
      <c r="J177" s="305"/>
      <c r="K177" s="305"/>
      <c r="L177" s="305"/>
      <c r="M177" s="305"/>
      <c r="N177" s="305"/>
      <c r="O177" s="305"/>
      <c r="P177" s="305"/>
      <c r="Q177" s="306">
        <f t="shared" si="12"/>
        <v>53.9</v>
      </c>
      <c r="R177" s="307" t="str">
        <f t="shared" si="9"/>
        <v>NO</v>
      </c>
      <c r="S177" s="307" t="str">
        <f t="shared" si="10"/>
        <v>Alto</v>
      </c>
      <c r="T177" s="57"/>
    </row>
    <row r="178" spans="1:20" s="56" customFormat="1" ht="32.1" customHeight="1">
      <c r="A178" s="562" t="s">
        <v>131</v>
      </c>
      <c r="B178" s="563" t="s">
        <v>3607</v>
      </c>
      <c r="C178" s="582" t="s">
        <v>3608</v>
      </c>
      <c r="D178" s="304">
        <v>49</v>
      </c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305"/>
      <c r="Q178" s="306"/>
      <c r="R178" s="307"/>
      <c r="S178" s="307"/>
      <c r="T178" s="57"/>
    </row>
    <row r="179" spans="1:20" s="56" customFormat="1" ht="32.1" customHeight="1">
      <c r="A179" s="562" t="s">
        <v>131</v>
      </c>
      <c r="B179" s="563" t="s">
        <v>3609</v>
      </c>
      <c r="C179" s="582" t="s">
        <v>3610</v>
      </c>
      <c r="D179" s="304">
        <v>25</v>
      </c>
      <c r="E179" s="305"/>
      <c r="F179" s="305">
        <v>50.1</v>
      </c>
      <c r="G179" s="305"/>
      <c r="H179" s="305"/>
      <c r="I179" s="305"/>
      <c r="J179" s="305"/>
      <c r="K179" s="305"/>
      <c r="L179" s="305"/>
      <c r="M179" s="305"/>
      <c r="N179" s="305"/>
      <c r="O179" s="305"/>
      <c r="P179" s="305"/>
      <c r="Q179" s="306">
        <f t="shared" si="12"/>
        <v>50.1</v>
      </c>
      <c r="R179" s="307" t="str">
        <f t="shared" si="9"/>
        <v>NO</v>
      </c>
      <c r="S179" s="307" t="str">
        <f t="shared" si="10"/>
        <v>Alto</v>
      </c>
      <c r="T179" s="57"/>
    </row>
    <row r="180" spans="1:20" s="56" customFormat="1" ht="32.1" customHeight="1">
      <c r="A180" s="562" t="s">
        <v>131</v>
      </c>
      <c r="B180" s="563" t="s">
        <v>3611</v>
      </c>
      <c r="C180" s="582" t="s">
        <v>3612</v>
      </c>
      <c r="D180" s="304">
        <v>11</v>
      </c>
      <c r="E180" s="305"/>
      <c r="F180" s="305"/>
      <c r="G180" s="305"/>
      <c r="H180" s="305"/>
      <c r="I180" s="305">
        <v>53.9</v>
      </c>
      <c r="J180" s="305"/>
      <c r="K180" s="305"/>
      <c r="L180" s="305"/>
      <c r="M180" s="305"/>
      <c r="N180" s="305"/>
      <c r="O180" s="305"/>
      <c r="P180" s="305"/>
      <c r="Q180" s="306">
        <f t="shared" si="12"/>
        <v>53.9</v>
      </c>
      <c r="R180" s="307" t="str">
        <f t="shared" si="9"/>
        <v>NO</v>
      </c>
      <c r="S180" s="307" t="str">
        <f t="shared" si="10"/>
        <v>Alto</v>
      </c>
      <c r="T180" s="57"/>
    </row>
    <row r="181" spans="1:20" s="56" customFormat="1" ht="32.1" customHeight="1">
      <c r="A181" s="562" t="s">
        <v>131</v>
      </c>
      <c r="B181" s="563" t="s">
        <v>4189</v>
      </c>
      <c r="C181" s="582" t="s">
        <v>4190</v>
      </c>
      <c r="D181" s="304">
        <v>10</v>
      </c>
      <c r="E181" s="305"/>
      <c r="F181" s="305"/>
      <c r="G181" s="305"/>
      <c r="H181" s="305"/>
      <c r="I181" s="305">
        <v>53.9</v>
      </c>
      <c r="J181" s="305"/>
      <c r="K181" s="305"/>
      <c r="L181" s="305"/>
      <c r="M181" s="305"/>
      <c r="N181" s="305"/>
      <c r="O181" s="305"/>
      <c r="P181" s="305"/>
      <c r="Q181" s="306">
        <f>AVERAGE(E181:P181)</f>
        <v>53.9</v>
      </c>
      <c r="R181" s="307" t="str">
        <f t="shared" si="9"/>
        <v>NO</v>
      </c>
      <c r="S181" s="307" t="str">
        <f t="shared" si="10"/>
        <v>Alto</v>
      </c>
      <c r="T181" s="57"/>
    </row>
    <row r="182" spans="1:20" s="56" customFormat="1" ht="32.1" customHeight="1">
      <c r="A182" s="562" t="s">
        <v>131</v>
      </c>
      <c r="B182" s="563" t="s">
        <v>4191</v>
      </c>
      <c r="C182" s="582" t="s">
        <v>4192</v>
      </c>
      <c r="D182" s="304">
        <v>12</v>
      </c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6"/>
      <c r="R182" s="307"/>
      <c r="S182" s="307"/>
      <c r="T182" s="57"/>
    </row>
    <row r="183" spans="1:20" s="56" customFormat="1" ht="32.1" customHeight="1">
      <c r="A183" s="404" t="s">
        <v>3619</v>
      </c>
      <c r="B183" s="302" t="s">
        <v>3613</v>
      </c>
      <c r="C183" s="303" t="s">
        <v>3614</v>
      </c>
      <c r="D183" s="346">
        <v>35</v>
      </c>
      <c r="E183" s="47"/>
      <c r="F183" s="47"/>
      <c r="G183" s="47"/>
      <c r="H183" s="47"/>
      <c r="I183" s="47"/>
      <c r="J183" s="47"/>
      <c r="K183" s="47">
        <v>53.9</v>
      </c>
      <c r="L183" s="47"/>
      <c r="M183" s="47"/>
      <c r="N183" s="47"/>
      <c r="O183" s="47">
        <v>53.9</v>
      </c>
      <c r="P183" s="47"/>
      <c r="Q183" s="306">
        <f t="shared" si="12"/>
        <v>53.9</v>
      </c>
      <c r="R183" s="307" t="str">
        <f t="shared" si="9"/>
        <v>NO</v>
      </c>
      <c r="S183" s="307" t="str">
        <f t="shared" si="10"/>
        <v>Alto</v>
      </c>
      <c r="T183" s="57"/>
    </row>
    <row r="184" spans="1:20" s="56" customFormat="1" ht="32.1" customHeight="1">
      <c r="A184" s="404" t="s">
        <v>3619</v>
      </c>
      <c r="B184" s="302" t="s">
        <v>3615</v>
      </c>
      <c r="C184" s="303" t="s">
        <v>3616</v>
      </c>
      <c r="D184" s="346">
        <v>72</v>
      </c>
      <c r="E184" s="47"/>
      <c r="F184" s="47"/>
      <c r="G184" s="47"/>
      <c r="H184" s="47"/>
      <c r="I184" s="47"/>
      <c r="J184" s="47"/>
      <c r="K184" s="47"/>
      <c r="L184" s="47">
        <v>53.9</v>
      </c>
      <c r="M184" s="47"/>
      <c r="N184" s="47"/>
      <c r="O184" s="47">
        <v>0</v>
      </c>
      <c r="P184" s="47"/>
      <c r="Q184" s="306">
        <f t="shared" si="12"/>
        <v>26.95</v>
      </c>
      <c r="R184" s="307" t="str">
        <f t="shared" si="9"/>
        <v>NO</v>
      </c>
      <c r="S184" s="307" t="str">
        <f t="shared" si="10"/>
        <v>Medio</v>
      </c>
      <c r="T184" s="57"/>
    </row>
    <row r="185" spans="1:20" s="56" customFormat="1" ht="32.1" customHeight="1">
      <c r="A185" s="404" t="s">
        <v>3619</v>
      </c>
      <c r="B185" s="302" t="s">
        <v>3617</v>
      </c>
      <c r="C185" s="303" t="s">
        <v>3618</v>
      </c>
      <c r="D185" s="346">
        <v>20</v>
      </c>
      <c r="E185" s="47"/>
      <c r="F185" s="339"/>
      <c r="G185" s="339"/>
      <c r="H185" s="47"/>
      <c r="I185" s="47">
        <v>53.9</v>
      </c>
      <c r="J185" s="47"/>
      <c r="K185" s="47"/>
      <c r="L185" s="47"/>
      <c r="M185" s="47">
        <v>0</v>
      </c>
      <c r="N185" s="47"/>
      <c r="O185" s="47"/>
      <c r="P185" s="47"/>
      <c r="Q185" s="306">
        <f t="shared" si="12"/>
        <v>26.95</v>
      </c>
      <c r="R185" s="307" t="str">
        <f t="shared" si="9"/>
        <v>NO</v>
      </c>
      <c r="S185" s="307" t="str">
        <f t="shared" si="10"/>
        <v>Medio</v>
      </c>
      <c r="T185" s="57"/>
    </row>
    <row r="186" spans="1:20" s="56" customFormat="1" ht="32.1" customHeight="1">
      <c r="A186" s="404" t="s">
        <v>3619</v>
      </c>
      <c r="B186" s="302" t="s">
        <v>771</v>
      </c>
      <c r="C186" s="303" t="s">
        <v>651</v>
      </c>
      <c r="D186" s="346">
        <v>14</v>
      </c>
      <c r="E186" s="47"/>
      <c r="F186" s="47"/>
      <c r="G186" s="47"/>
      <c r="H186" s="47">
        <v>53.9</v>
      </c>
      <c r="I186" s="47"/>
      <c r="J186" s="47"/>
      <c r="K186" s="47"/>
      <c r="L186" s="47"/>
      <c r="M186" s="47">
        <v>53.9</v>
      </c>
      <c r="N186" s="47"/>
      <c r="O186" s="47"/>
      <c r="P186" s="47"/>
      <c r="Q186" s="306">
        <f t="shared" si="12"/>
        <v>53.9</v>
      </c>
      <c r="R186" s="307" t="str">
        <f t="shared" si="9"/>
        <v>NO</v>
      </c>
      <c r="S186" s="307" t="str">
        <f t="shared" si="10"/>
        <v>Alto</v>
      </c>
      <c r="T186" s="57"/>
    </row>
    <row r="187" spans="1:20" s="56" customFormat="1" ht="32.1" customHeight="1">
      <c r="A187" s="404" t="s">
        <v>133</v>
      </c>
      <c r="B187" s="302" t="s">
        <v>3620</v>
      </c>
      <c r="C187" s="302" t="s">
        <v>3621</v>
      </c>
      <c r="D187" s="346">
        <v>112</v>
      </c>
      <c r="E187" s="407"/>
      <c r="F187" s="407"/>
      <c r="G187" s="407"/>
      <c r="H187" s="407"/>
      <c r="I187" s="407">
        <v>24.59</v>
      </c>
      <c r="J187" s="407"/>
      <c r="K187" s="407"/>
      <c r="L187" s="407">
        <v>50.4</v>
      </c>
      <c r="M187" s="407"/>
      <c r="N187" s="407"/>
      <c r="O187" s="407"/>
      <c r="P187" s="407"/>
      <c r="Q187" s="306">
        <f t="shared" si="12"/>
        <v>37.494999999999997</v>
      </c>
      <c r="R187" s="307" t="str">
        <f t="shared" si="9"/>
        <v>NO</v>
      </c>
      <c r="S187" s="307" t="str">
        <f t="shared" si="10"/>
        <v>Alto</v>
      </c>
      <c r="T187" s="57"/>
    </row>
    <row r="188" spans="1:20" s="56" customFormat="1" ht="32.1" customHeight="1">
      <c r="A188" s="404" t="s">
        <v>133</v>
      </c>
      <c r="B188" s="302" t="s">
        <v>3622</v>
      </c>
      <c r="C188" s="302" t="s">
        <v>3623</v>
      </c>
      <c r="D188" s="346">
        <v>157</v>
      </c>
      <c r="E188" s="407"/>
      <c r="F188" s="407"/>
      <c r="G188" s="407">
        <v>0</v>
      </c>
      <c r="H188" s="407"/>
      <c r="I188" s="407"/>
      <c r="J188" s="407">
        <v>26.54</v>
      </c>
      <c r="K188" s="407"/>
      <c r="L188" s="407"/>
      <c r="M188" s="407">
        <v>26.4</v>
      </c>
      <c r="N188" s="407"/>
      <c r="O188" s="407"/>
      <c r="P188" s="407">
        <v>24</v>
      </c>
      <c r="Q188" s="306">
        <f t="shared" si="12"/>
        <v>19.234999999999999</v>
      </c>
      <c r="R188" s="307" t="str">
        <f t="shared" si="9"/>
        <v>NO</v>
      </c>
      <c r="S188" s="307" t="str">
        <f t="shared" si="10"/>
        <v>Medio</v>
      </c>
      <c r="T188" s="57"/>
    </row>
    <row r="189" spans="1:20" s="56" customFormat="1" ht="32.1" customHeight="1">
      <c r="A189" s="404" t="s">
        <v>133</v>
      </c>
      <c r="B189" s="302" t="s">
        <v>3624</v>
      </c>
      <c r="C189" s="302" t="s">
        <v>3625</v>
      </c>
      <c r="D189" s="346">
        <v>375</v>
      </c>
      <c r="E189" s="407"/>
      <c r="F189" s="407">
        <v>24.59</v>
      </c>
      <c r="G189" s="407"/>
      <c r="H189" s="407"/>
      <c r="I189" s="407">
        <v>24.59</v>
      </c>
      <c r="J189" s="407"/>
      <c r="K189" s="407">
        <v>0</v>
      </c>
      <c r="L189" s="407"/>
      <c r="M189" s="407"/>
      <c r="N189" s="407">
        <v>24</v>
      </c>
      <c r="O189" s="407"/>
      <c r="P189" s="407"/>
      <c r="Q189" s="306">
        <f t="shared" si="12"/>
        <v>18.295000000000002</v>
      </c>
      <c r="R189" s="307" t="str">
        <f t="shared" si="9"/>
        <v>NO</v>
      </c>
      <c r="S189" s="307" t="str">
        <f t="shared" si="10"/>
        <v>Medio</v>
      </c>
      <c r="T189" s="57"/>
    </row>
    <row r="190" spans="1:20" s="56" customFormat="1" ht="32.1" customHeight="1">
      <c r="A190" s="404" t="s">
        <v>133</v>
      </c>
      <c r="B190" s="302" t="s">
        <v>3626</v>
      </c>
      <c r="C190" s="302" t="s">
        <v>3627</v>
      </c>
      <c r="D190" s="346">
        <v>168</v>
      </c>
      <c r="E190" s="407"/>
      <c r="F190" s="407"/>
      <c r="G190" s="407">
        <v>54.1</v>
      </c>
      <c r="H190" s="407"/>
      <c r="I190" s="407">
        <v>31.96</v>
      </c>
      <c r="J190" s="407"/>
      <c r="K190" s="407"/>
      <c r="L190" s="407">
        <v>50.4</v>
      </c>
      <c r="M190" s="407"/>
      <c r="N190" s="407"/>
      <c r="O190" s="407">
        <v>2.4</v>
      </c>
      <c r="P190" s="407"/>
      <c r="Q190" s="306">
        <f t="shared" si="12"/>
        <v>34.715000000000003</v>
      </c>
      <c r="R190" s="307" t="str">
        <f t="shared" si="9"/>
        <v>NO</v>
      </c>
      <c r="S190" s="307" t="str">
        <f t="shared" si="10"/>
        <v>Medio</v>
      </c>
      <c r="T190" s="57"/>
    </row>
    <row r="191" spans="1:20" s="56" customFormat="1" ht="32.1" customHeight="1">
      <c r="A191" s="404" t="s">
        <v>133</v>
      </c>
      <c r="B191" s="302" t="s">
        <v>3628</v>
      </c>
      <c r="C191" s="302" t="s">
        <v>3629</v>
      </c>
      <c r="D191" s="346">
        <v>222</v>
      </c>
      <c r="E191" s="407"/>
      <c r="F191" s="407">
        <v>0</v>
      </c>
      <c r="G191" s="407"/>
      <c r="H191" s="407"/>
      <c r="I191" s="407">
        <v>90.16</v>
      </c>
      <c r="J191" s="407"/>
      <c r="K191" s="407">
        <v>24</v>
      </c>
      <c r="L191" s="407"/>
      <c r="M191" s="407"/>
      <c r="N191" s="407"/>
      <c r="O191" s="407">
        <v>0</v>
      </c>
      <c r="P191" s="407"/>
      <c r="Q191" s="306">
        <f t="shared" si="12"/>
        <v>28.54</v>
      </c>
      <c r="R191" s="307" t="str">
        <f t="shared" si="9"/>
        <v>NO</v>
      </c>
      <c r="S191" s="307" t="str">
        <f t="shared" si="10"/>
        <v>Medio</v>
      </c>
      <c r="T191" s="57"/>
    </row>
    <row r="192" spans="1:20" s="56" customFormat="1" ht="32.1" customHeight="1">
      <c r="A192" s="404" t="s">
        <v>133</v>
      </c>
      <c r="B192" s="302" t="s">
        <v>3630</v>
      </c>
      <c r="C192" s="302" t="s">
        <v>3631</v>
      </c>
      <c r="D192" s="346">
        <v>100</v>
      </c>
      <c r="E192" s="407"/>
      <c r="F192" s="407">
        <v>27.05</v>
      </c>
      <c r="G192" s="407"/>
      <c r="H192" s="407"/>
      <c r="I192" s="407"/>
      <c r="J192" s="407"/>
      <c r="K192" s="407"/>
      <c r="L192" s="407">
        <v>48</v>
      </c>
      <c r="M192" s="407"/>
      <c r="N192" s="407"/>
      <c r="O192" s="407"/>
      <c r="P192" s="407"/>
      <c r="Q192" s="306">
        <f t="shared" si="12"/>
        <v>37.524999999999999</v>
      </c>
      <c r="R192" s="307" t="str">
        <f t="shared" si="9"/>
        <v>NO</v>
      </c>
      <c r="S192" s="307" t="str">
        <f t="shared" si="10"/>
        <v>Alto</v>
      </c>
      <c r="T192" s="57"/>
    </row>
    <row r="193" spans="1:20" s="56" customFormat="1" ht="32.1" customHeight="1">
      <c r="A193" s="404" t="s">
        <v>133</v>
      </c>
      <c r="B193" s="302" t="s">
        <v>3632</v>
      </c>
      <c r="C193" s="302" t="s">
        <v>3633</v>
      </c>
      <c r="D193" s="346">
        <v>26</v>
      </c>
      <c r="E193" s="407"/>
      <c r="F193" s="407"/>
      <c r="G193" s="407"/>
      <c r="H193" s="407">
        <v>65.569999999999993</v>
      </c>
      <c r="I193" s="407"/>
      <c r="J193" s="407"/>
      <c r="K193" s="407"/>
      <c r="L193" s="407"/>
      <c r="M193" s="407"/>
      <c r="N193" s="407">
        <v>88</v>
      </c>
      <c r="O193" s="407"/>
      <c r="P193" s="407"/>
      <c r="Q193" s="306">
        <f t="shared" si="12"/>
        <v>76.784999999999997</v>
      </c>
      <c r="R193" s="307" t="str">
        <f t="shared" si="9"/>
        <v>NO</v>
      </c>
      <c r="S193" s="307" t="str">
        <f t="shared" si="10"/>
        <v>Alto</v>
      </c>
      <c r="T193" s="57"/>
    </row>
    <row r="194" spans="1:20" s="190" customFormat="1" ht="32.1" customHeight="1">
      <c r="A194" s="404" t="s">
        <v>133</v>
      </c>
      <c r="B194" s="302" t="s">
        <v>3634</v>
      </c>
      <c r="C194" s="302" t="s">
        <v>3635</v>
      </c>
      <c r="D194" s="399">
        <v>338</v>
      </c>
      <c r="E194" s="407"/>
      <c r="F194" s="407"/>
      <c r="G194" s="407">
        <v>24.59</v>
      </c>
      <c r="H194" s="407"/>
      <c r="I194" s="407"/>
      <c r="J194" s="407">
        <v>0</v>
      </c>
      <c r="K194" s="407"/>
      <c r="L194" s="407">
        <v>0</v>
      </c>
      <c r="M194" s="407"/>
      <c r="N194" s="407"/>
      <c r="O194" s="407">
        <v>0</v>
      </c>
      <c r="P194" s="407"/>
      <c r="Q194" s="306">
        <f t="shared" si="12"/>
        <v>6.1475</v>
      </c>
      <c r="R194" s="307" t="str">
        <f t="shared" si="9"/>
        <v>NO</v>
      </c>
      <c r="S194" s="307" t="str">
        <f t="shared" si="10"/>
        <v>Bajo</v>
      </c>
    </row>
    <row r="195" spans="1:20" s="190" customFormat="1" ht="32.1" customHeight="1">
      <c r="A195" s="404" t="s">
        <v>133</v>
      </c>
      <c r="B195" s="302" t="s">
        <v>3636</v>
      </c>
      <c r="C195" s="302" t="s">
        <v>3637</v>
      </c>
      <c r="D195" s="346">
        <v>200</v>
      </c>
      <c r="E195" s="407">
        <v>0</v>
      </c>
      <c r="F195" s="407"/>
      <c r="G195" s="407"/>
      <c r="H195" s="407">
        <v>0</v>
      </c>
      <c r="I195" s="407"/>
      <c r="J195" s="407"/>
      <c r="K195" s="407">
        <v>0</v>
      </c>
      <c r="L195" s="407"/>
      <c r="M195" s="407"/>
      <c r="N195" s="407">
        <v>24</v>
      </c>
      <c r="O195" s="407"/>
      <c r="P195" s="407"/>
      <c r="Q195" s="306">
        <f t="shared" si="12"/>
        <v>6</v>
      </c>
      <c r="R195" s="307" t="str">
        <f t="shared" si="9"/>
        <v>NO</v>
      </c>
      <c r="S195" s="307" t="str">
        <f t="shared" si="10"/>
        <v>Bajo</v>
      </c>
    </row>
    <row r="196" spans="1:20" s="56" customFormat="1" ht="32.1" customHeight="1">
      <c r="A196" s="404" t="s">
        <v>133</v>
      </c>
      <c r="B196" s="302" t="s">
        <v>3638</v>
      </c>
      <c r="C196" s="302" t="s">
        <v>3639</v>
      </c>
      <c r="D196" s="346">
        <v>72</v>
      </c>
      <c r="E196" s="407"/>
      <c r="F196" s="407"/>
      <c r="G196" s="407">
        <v>65.569999999999993</v>
      </c>
      <c r="H196" s="407"/>
      <c r="I196" s="407"/>
      <c r="J196" s="407"/>
      <c r="K196" s="407"/>
      <c r="L196" s="407"/>
      <c r="M196" s="407">
        <v>64</v>
      </c>
      <c r="N196" s="407"/>
      <c r="O196" s="407"/>
      <c r="P196" s="407"/>
      <c r="Q196" s="306">
        <f t="shared" si="12"/>
        <v>64.784999999999997</v>
      </c>
      <c r="R196" s="307" t="str">
        <f t="shared" si="9"/>
        <v>NO</v>
      </c>
      <c r="S196" s="307" t="str">
        <f t="shared" si="10"/>
        <v>Alto</v>
      </c>
      <c r="T196" s="57"/>
    </row>
    <row r="197" spans="1:20" s="56" customFormat="1" ht="32.1" customHeight="1">
      <c r="A197" s="404" t="s">
        <v>133</v>
      </c>
      <c r="B197" s="302" t="s">
        <v>3640</v>
      </c>
      <c r="C197" s="302" t="s">
        <v>3641</v>
      </c>
      <c r="D197" s="399">
        <v>215</v>
      </c>
      <c r="E197" s="407"/>
      <c r="F197" s="407"/>
      <c r="G197" s="407">
        <v>65.569999999999993</v>
      </c>
      <c r="H197" s="407"/>
      <c r="I197" s="407"/>
      <c r="J197" s="407">
        <v>73.45</v>
      </c>
      <c r="K197" s="407"/>
      <c r="L197" s="407"/>
      <c r="M197" s="407">
        <v>64</v>
      </c>
      <c r="N197" s="407"/>
      <c r="O197" s="407"/>
      <c r="P197" s="407">
        <v>64</v>
      </c>
      <c r="Q197" s="306">
        <f t="shared" ref="Q197:Q228" si="13">AVERAGE(E197:P197)</f>
        <v>66.754999999999995</v>
      </c>
      <c r="R197" s="307" t="str">
        <f t="shared" si="9"/>
        <v>NO</v>
      </c>
      <c r="S197" s="307" t="str">
        <f t="shared" si="10"/>
        <v>Alto</v>
      </c>
      <c r="T197" s="57"/>
    </row>
    <row r="198" spans="1:20" s="56" customFormat="1" ht="32.1" customHeight="1">
      <c r="A198" s="404" t="s">
        <v>133</v>
      </c>
      <c r="B198" s="302" t="s">
        <v>3642</v>
      </c>
      <c r="C198" s="302" t="s">
        <v>3643</v>
      </c>
      <c r="D198" s="346">
        <v>33</v>
      </c>
      <c r="E198" s="407"/>
      <c r="F198" s="407"/>
      <c r="G198" s="407"/>
      <c r="H198" s="407">
        <v>65.569999999999993</v>
      </c>
      <c r="I198" s="407"/>
      <c r="J198" s="407"/>
      <c r="K198" s="407"/>
      <c r="L198" s="407"/>
      <c r="M198" s="407">
        <v>88</v>
      </c>
      <c r="N198" s="407"/>
      <c r="O198" s="407"/>
      <c r="P198" s="407"/>
      <c r="Q198" s="306">
        <f t="shared" si="13"/>
        <v>76.784999999999997</v>
      </c>
      <c r="R198" s="307" t="str">
        <f t="shared" si="9"/>
        <v>NO</v>
      </c>
      <c r="S198" s="307" t="str">
        <f t="shared" si="10"/>
        <v>Alto</v>
      </c>
      <c r="T198" s="57"/>
    </row>
    <row r="199" spans="1:20" s="56" customFormat="1" ht="32.1" customHeight="1">
      <c r="A199" s="404" t="s">
        <v>133</v>
      </c>
      <c r="B199" s="302" t="s">
        <v>3644</v>
      </c>
      <c r="C199" s="302" t="s">
        <v>3645</v>
      </c>
      <c r="D199" s="346">
        <v>244</v>
      </c>
      <c r="E199" s="407"/>
      <c r="F199" s="407"/>
      <c r="G199" s="407">
        <v>0</v>
      </c>
      <c r="H199" s="407"/>
      <c r="I199" s="407"/>
      <c r="J199" s="407">
        <v>2.4</v>
      </c>
      <c r="K199" s="407"/>
      <c r="L199" s="407"/>
      <c r="M199" s="407">
        <v>0</v>
      </c>
      <c r="N199" s="407"/>
      <c r="O199" s="407">
        <v>2.4</v>
      </c>
      <c r="P199" s="407"/>
      <c r="Q199" s="306">
        <f t="shared" si="13"/>
        <v>1.2</v>
      </c>
      <c r="R199" s="307" t="str">
        <f t="shared" si="9"/>
        <v>SI</v>
      </c>
      <c r="S199" s="307" t="str">
        <f t="shared" ref="S199:S262" si="14">IF(Q199&lt;=5,"Sin Riesgo",IF(Q199 &lt;=14,"Bajo",IF(Q199&lt;=35,"Medio",IF(Q199&lt;=80,"Alto","Inviable Sanitariamente"))))</f>
        <v>Sin Riesgo</v>
      </c>
      <c r="T199" s="57"/>
    </row>
    <row r="200" spans="1:20" s="56" customFormat="1" ht="32.1" customHeight="1">
      <c r="A200" s="404" t="s">
        <v>133</v>
      </c>
      <c r="B200" s="302" t="s">
        <v>3646</v>
      </c>
      <c r="C200" s="302" t="s">
        <v>3647</v>
      </c>
      <c r="D200" s="399">
        <v>286</v>
      </c>
      <c r="E200" s="407"/>
      <c r="F200" s="407"/>
      <c r="G200" s="407"/>
      <c r="H200" s="407">
        <v>0</v>
      </c>
      <c r="I200" s="407"/>
      <c r="J200" s="407">
        <v>0</v>
      </c>
      <c r="K200" s="407"/>
      <c r="L200" s="407"/>
      <c r="M200" s="407"/>
      <c r="N200" s="407">
        <v>0</v>
      </c>
      <c r="O200" s="407"/>
      <c r="P200" s="407">
        <v>0</v>
      </c>
      <c r="Q200" s="306">
        <f t="shared" si="13"/>
        <v>0</v>
      </c>
      <c r="R200" s="307" t="str">
        <f t="shared" ref="R200:R264" si="15">IF(Q200&lt;5,"SI","NO")</f>
        <v>SI</v>
      </c>
      <c r="S200" s="307" t="str">
        <f t="shared" si="14"/>
        <v>Sin Riesgo</v>
      </c>
      <c r="T200" s="57"/>
    </row>
    <row r="201" spans="1:20" s="56" customFormat="1" ht="32.1" customHeight="1">
      <c r="A201" s="562" t="s">
        <v>133</v>
      </c>
      <c r="B201" s="563" t="s">
        <v>3648</v>
      </c>
      <c r="C201" s="563" t="s">
        <v>3649</v>
      </c>
      <c r="D201" s="304">
        <v>50</v>
      </c>
      <c r="E201" s="305"/>
      <c r="F201" s="305"/>
      <c r="G201" s="305"/>
      <c r="H201" s="305"/>
      <c r="I201" s="305"/>
      <c r="J201" s="305"/>
      <c r="K201" s="305"/>
      <c r="L201" s="305"/>
      <c r="M201" s="305">
        <v>97.4</v>
      </c>
      <c r="N201" s="305"/>
      <c r="O201" s="305"/>
      <c r="P201" s="305"/>
      <c r="Q201" s="306">
        <f t="shared" si="13"/>
        <v>97.4</v>
      </c>
      <c r="R201" s="307" t="str">
        <f t="shared" si="15"/>
        <v>NO</v>
      </c>
      <c r="S201" s="307" t="str">
        <f t="shared" si="14"/>
        <v>Inviable Sanitariamente</v>
      </c>
      <c r="T201" s="57"/>
    </row>
    <row r="202" spans="1:20" s="56" customFormat="1" ht="32.1" customHeight="1">
      <c r="A202" s="404" t="s">
        <v>133</v>
      </c>
      <c r="B202" s="302" t="s">
        <v>3650</v>
      </c>
      <c r="C202" s="302" t="s">
        <v>3651</v>
      </c>
      <c r="D202" s="346">
        <v>66</v>
      </c>
      <c r="E202" s="407"/>
      <c r="F202" s="407"/>
      <c r="G202" s="407"/>
      <c r="H202" s="407">
        <v>92.62</v>
      </c>
      <c r="I202" s="407"/>
      <c r="J202" s="407"/>
      <c r="K202" s="407"/>
      <c r="L202" s="407"/>
      <c r="M202" s="407"/>
      <c r="N202" s="407">
        <v>97.6</v>
      </c>
      <c r="O202" s="407"/>
      <c r="P202" s="407"/>
      <c r="Q202" s="306">
        <f t="shared" si="13"/>
        <v>95.11</v>
      </c>
      <c r="R202" s="307" t="str">
        <f t="shared" si="15"/>
        <v>NO</v>
      </c>
      <c r="S202" s="307" t="str">
        <f t="shared" si="14"/>
        <v>Inviable Sanitariamente</v>
      </c>
      <c r="T202" s="57"/>
    </row>
    <row r="203" spans="1:20" s="56" customFormat="1" ht="32.1" customHeight="1">
      <c r="A203" s="404" t="s">
        <v>134</v>
      </c>
      <c r="B203" s="302" t="s">
        <v>3652</v>
      </c>
      <c r="C203" s="302" t="s">
        <v>3653</v>
      </c>
      <c r="D203" s="346">
        <v>55</v>
      </c>
      <c r="E203" s="407"/>
      <c r="F203" s="407"/>
      <c r="G203" s="407"/>
      <c r="H203" s="407">
        <v>36.14</v>
      </c>
      <c r="I203" s="407"/>
      <c r="J203" s="407"/>
      <c r="K203" s="407"/>
      <c r="L203" s="407"/>
      <c r="M203" s="407"/>
      <c r="N203" s="407"/>
      <c r="O203" s="407">
        <v>31.57</v>
      </c>
      <c r="P203" s="407"/>
      <c r="Q203" s="306">
        <f t="shared" si="13"/>
        <v>33.855000000000004</v>
      </c>
      <c r="R203" s="307" t="str">
        <f t="shared" si="15"/>
        <v>NO</v>
      </c>
      <c r="S203" s="307" t="str">
        <f t="shared" si="14"/>
        <v>Medio</v>
      </c>
      <c r="T203" s="57"/>
    </row>
    <row r="204" spans="1:20" s="56" customFormat="1" ht="32.1" customHeight="1">
      <c r="A204" s="404" t="s">
        <v>134</v>
      </c>
      <c r="B204" s="302" t="s">
        <v>3654</v>
      </c>
      <c r="C204" s="302" t="s">
        <v>3655</v>
      </c>
      <c r="D204" s="346">
        <v>260</v>
      </c>
      <c r="E204" s="407"/>
      <c r="F204" s="407"/>
      <c r="G204" s="407">
        <v>0</v>
      </c>
      <c r="H204" s="407"/>
      <c r="I204" s="407">
        <v>36.14</v>
      </c>
      <c r="J204" s="407"/>
      <c r="K204" s="407"/>
      <c r="L204" s="407"/>
      <c r="M204" s="407"/>
      <c r="N204" s="407">
        <v>31.57</v>
      </c>
      <c r="O204" s="407">
        <v>31.57</v>
      </c>
      <c r="P204" s="407"/>
      <c r="Q204" s="306">
        <f t="shared" si="13"/>
        <v>24.82</v>
      </c>
      <c r="R204" s="307" t="str">
        <f t="shared" si="15"/>
        <v>NO</v>
      </c>
      <c r="S204" s="307" t="str">
        <f t="shared" si="14"/>
        <v>Medio</v>
      </c>
      <c r="T204" s="57"/>
    </row>
    <row r="205" spans="1:20" s="56" customFormat="1" ht="32.1" customHeight="1">
      <c r="A205" s="404" t="s">
        <v>134</v>
      </c>
      <c r="B205" s="302" t="s">
        <v>3656</v>
      </c>
      <c r="C205" s="302" t="s">
        <v>3657</v>
      </c>
      <c r="D205" s="346">
        <v>175</v>
      </c>
      <c r="E205" s="407"/>
      <c r="F205" s="407"/>
      <c r="G205" s="407">
        <v>36.1</v>
      </c>
      <c r="H205" s="407"/>
      <c r="I205" s="407">
        <v>0</v>
      </c>
      <c r="J205" s="407"/>
      <c r="K205" s="407"/>
      <c r="L205" s="407"/>
      <c r="M205" s="407">
        <v>31.57</v>
      </c>
      <c r="N205" s="407"/>
      <c r="O205" s="407">
        <v>0</v>
      </c>
      <c r="P205" s="407"/>
      <c r="Q205" s="306">
        <f t="shared" si="13"/>
        <v>16.9175</v>
      </c>
      <c r="R205" s="307" t="str">
        <f t="shared" si="15"/>
        <v>NO</v>
      </c>
      <c r="S205" s="307" t="str">
        <f t="shared" si="14"/>
        <v>Medio</v>
      </c>
      <c r="T205" s="57"/>
    </row>
    <row r="206" spans="1:20" s="56" customFormat="1" ht="32.1" customHeight="1">
      <c r="A206" s="404" t="s">
        <v>134</v>
      </c>
      <c r="B206" s="302" t="s">
        <v>3658</v>
      </c>
      <c r="C206" s="302" t="s">
        <v>3659</v>
      </c>
      <c r="D206" s="346">
        <v>205</v>
      </c>
      <c r="E206" s="407"/>
      <c r="F206" s="407"/>
      <c r="G206" s="407">
        <v>36.1</v>
      </c>
      <c r="H206" s="407"/>
      <c r="I206" s="407"/>
      <c r="J206" s="407">
        <v>31.58</v>
      </c>
      <c r="K206" s="407">
        <v>31.58</v>
      </c>
      <c r="L206" s="407"/>
      <c r="M206" s="407"/>
      <c r="N206" s="407"/>
      <c r="O206" s="407">
        <v>31.57</v>
      </c>
      <c r="P206" s="407"/>
      <c r="Q206" s="306">
        <f t="shared" si="13"/>
        <v>32.707500000000003</v>
      </c>
      <c r="R206" s="307" t="str">
        <f t="shared" si="15"/>
        <v>NO</v>
      </c>
      <c r="S206" s="307" t="str">
        <f t="shared" si="14"/>
        <v>Medio</v>
      </c>
      <c r="T206" s="57"/>
    </row>
    <row r="207" spans="1:20" s="56" customFormat="1" ht="32.1" customHeight="1">
      <c r="A207" s="404" t="s">
        <v>134</v>
      </c>
      <c r="B207" s="302" t="s">
        <v>3660</v>
      </c>
      <c r="C207" s="302" t="s">
        <v>3661</v>
      </c>
      <c r="D207" s="346">
        <v>176</v>
      </c>
      <c r="E207" s="407"/>
      <c r="F207" s="407">
        <v>0</v>
      </c>
      <c r="G207" s="407"/>
      <c r="H207" s="407"/>
      <c r="I207" s="407">
        <v>0</v>
      </c>
      <c r="J207" s="407"/>
      <c r="K207" s="407">
        <v>0</v>
      </c>
      <c r="L207" s="407"/>
      <c r="M207" s="407"/>
      <c r="N207" s="407"/>
      <c r="O207" s="407"/>
      <c r="P207" s="407">
        <v>0</v>
      </c>
      <c r="Q207" s="306">
        <f t="shared" si="13"/>
        <v>0</v>
      </c>
      <c r="R207" s="307" t="str">
        <f t="shared" si="15"/>
        <v>SI</v>
      </c>
      <c r="S207" s="307" t="str">
        <f t="shared" si="14"/>
        <v>Sin Riesgo</v>
      </c>
      <c r="T207" s="57"/>
    </row>
    <row r="208" spans="1:20" s="56" customFormat="1" ht="32.1" customHeight="1">
      <c r="A208" s="404" t="s">
        <v>134</v>
      </c>
      <c r="B208" s="302" t="s">
        <v>3662</v>
      </c>
      <c r="C208" s="302" t="s">
        <v>3663</v>
      </c>
      <c r="D208" s="346">
        <v>179</v>
      </c>
      <c r="E208" s="407"/>
      <c r="F208" s="407">
        <v>36.1</v>
      </c>
      <c r="G208" s="407">
        <v>0</v>
      </c>
      <c r="H208" s="407"/>
      <c r="I208" s="407">
        <v>36.14</v>
      </c>
      <c r="J208" s="407"/>
      <c r="K208" s="407"/>
      <c r="L208" s="407">
        <v>0</v>
      </c>
      <c r="M208" s="407"/>
      <c r="N208" s="407"/>
      <c r="O208" s="407">
        <v>31.57</v>
      </c>
      <c r="P208" s="407"/>
      <c r="Q208" s="306">
        <f t="shared" si="13"/>
        <v>20.762</v>
      </c>
      <c r="R208" s="307" t="str">
        <f t="shared" si="15"/>
        <v>NO</v>
      </c>
      <c r="S208" s="307" t="str">
        <f t="shared" si="14"/>
        <v>Medio</v>
      </c>
      <c r="T208" s="57"/>
    </row>
    <row r="209" spans="1:20" s="56" customFormat="1" ht="32.1" customHeight="1">
      <c r="A209" s="404" t="s">
        <v>134</v>
      </c>
      <c r="B209" s="302" t="s">
        <v>3664</v>
      </c>
      <c r="C209" s="302" t="s">
        <v>3665</v>
      </c>
      <c r="D209" s="418">
        <v>101</v>
      </c>
      <c r="E209" s="407"/>
      <c r="F209" s="407"/>
      <c r="G209" s="407"/>
      <c r="H209" s="407"/>
      <c r="I209" s="407"/>
      <c r="J209" s="407">
        <v>0</v>
      </c>
      <c r="K209" s="407"/>
      <c r="L209" s="407"/>
      <c r="M209" s="407"/>
      <c r="N209" s="407"/>
      <c r="O209" s="407"/>
      <c r="P209" s="407">
        <v>0</v>
      </c>
      <c r="Q209" s="306">
        <f t="shared" si="13"/>
        <v>0</v>
      </c>
      <c r="R209" s="307" t="str">
        <f t="shared" si="15"/>
        <v>SI</v>
      </c>
      <c r="S209" s="307" t="str">
        <f t="shared" si="14"/>
        <v>Sin Riesgo</v>
      </c>
      <c r="T209" s="57"/>
    </row>
    <row r="210" spans="1:20" s="56" customFormat="1" ht="32.1" customHeight="1">
      <c r="A210" s="404" t="s">
        <v>134</v>
      </c>
      <c r="B210" s="302" t="s">
        <v>412</v>
      </c>
      <c r="C210" s="302" t="s">
        <v>3666</v>
      </c>
      <c r="D210" s="399">
        <v>70</v>
      </c>
      <c r="E210" s="407"/>
      <c r="F210" s="407"/>
      <c r="G210" s="407">
        <v>36.1</v>
      </c>
      <c r="H210" s="407"/>
      <c r="I210" s="407">
        <v>96.3</v>
      </c>
      <c r="J210" s="407"/>
      <c r="K210" s="407"/>
      <c r="L210" s="407"/>
      <c r="M210" s="407"/>
      <c r="N210" s="407"/>
      <c r="O210" s="407">
        <v>31.57</v>
      </c>
      <c r="P210" s="407"/>
      <c r="Q210" s="306">
        <f t="shared" si="13"/>
        <v>54.656666666666666</v>
      </c>
      <c r="R210" s="307" t="str">
        <f t="shared" si="15"/>
        <v>NO</v>
      </c>
      <c r="S210" s="307" t="str">
        <f t="shared" si="14"/>
        <v>Alto</v>
      </c>
      <c r="T210" s="57"/>
    </row>
    <row r="211" spans="1:20" s="56" customFormat="1" ht="32.1" customHeight="1">
      <c r="A211" s="404" t="s">
        <v>134</v>
      </c>
      <c r="B211" s="302" t="s">
        <v>3667</v>
      </c>
      <c r="C211" s="302" t="s">
        <v>3668</v>
      </c>
      <c r="D211" s="346">
        <v>287</v>
      </c>
      <c r="E211" s="407"/>
      <c r="F211" s="407">
        <v>12</v>
      </c>
      <c r="G211" s="407"/>
      <c r="H211" s="407"/>
      <c r="I211" s="407"/>
      <c r="J211" s="407">
        <v>31.58</v>
      </c>
      <c r="K211" s="407"/>
      <c r="L211" s="407"/>
      <c r="M211" s="407">
        <v>31.57</v>
      </c>
      <c r="N211" s="407"/>
      <c r="O211" s="407">
        <v>31.57</v>
      </c>
      <c r="P211" s="407"/>
      <c r="Q211" s="306">
        <f t="shared" si="13"/>
        <v>26.68</v>
      </c>
      <c r="R211" s="307" t="str">
        <f t="shared" si="15"/>
        <v>NO</v>
      </c>
      <c r="S211" s="307" t="str">
        <f t="shared" si="14"/>
        <v>Medio</v>
      </c>
      <c r="T211" s="57"/>
    </row>
    <row r="212" spans="1:20" s="56" customFormat="1" ht="32.1" customHeight="1">
      <c r="A212" s="404" t="s">
        <v>134</v>
      </c>
      <c r="B212" s="302" t="s">
        <v>9</v>
      </c>
      <c r="C212" s="302" t="s">
        <v>3669</v>
      </c>
      <c r="D212" s="346">
        <v>53</v>
      </c>
      <c r="E212" s="407"/>
      <c r="F212" s="407"/>
      <c r="G212" s="407">
        <v>36.1</v>
      </c>
      <c r="H212" s="407">
        <v>36.14</v>
      </c>
      <c r="I212" s="407"/>
      <c r="J212" s="407"/>
      <c r="K212" s="407"/>
      <c r="L212" s="407"/>
      <c r="M212" s="407"/>
      <c r="N212" s="407"/>
      <c r="O212" s="407">
        <v>31.57</v>
      </c>
      <c r="P212" s="407"/>
      <c r="Q212" s="306">
        <f t="shared" si="13"/>
        <v>34.603333333333332</v>
      </c>
      <c r="R212" s="307" t="str">
        <f t="shared" si="15"/>
        <v>NO</v>
      </c>
      <c r="S212" s="307" t="str">
        <f t="shared" si="14"/>
        <v>Medio</v>
      </c>
      <c r="T212" s="57"/>
    </row>
    <row r="213" spans="1:20" s="56" customFormat="1" ht="32.1" customHeight="1">
      <c r="A213" s="404" t="s">
        <v>134</v>
      </c>
      <c r="B213" s="302" t="s">
        <v>2854</v>
      </c>
      <c r="C213" s="302" t="s">
        <v>3670</v>
      </c>
      <c r="D213" s="399">
        <v>71</v>
      </c>
      <c r="E213" s="407"/>
      <c r="F213" s="407"/>
      <c r="G213" s="407"/>
      <c r="H213" s="407">
        <v>0</v>
      </c>
      <c r="I213" s="407"/>
      <c r="J213" s="407"/>
      <c r="K213" s="407"/>
      <c r="L213" s="407"/>
      <c r="M213" s="407"/>
      <c r="N213" s="407">
        <v>31.57</v>
      </c>
      <c r="O213" s="407"/>
      <c r="P213" s="407"/>
      <c r="Q213" s="306">
        <f t="shared" si="13"/>
        <v>15.785</v>
      </c>
      <c r="R213" s="307" t="str">
        <f t="shared" si="15"/>
        <v>NO</v>
      </c>
      <c r="S213" s="307" t="str">
        <f t="shared" si="14"/>
        <v>Medio</v>
      </c>
      <c r="T213" s="57"/>
    </row>
    <row r="214" spans="1:20" s="56" customFormat="1" ht="32.1" customHeight="1">
      <c r="A214" s="404" t="s">
        <v>134</v>
      </c>
      <c r="B214" s="302" t="s">
        <v>3671</v>
      </c>
      <c r="C214" s="302" t="s">
        <v>3672</v>
      </c>
      <c r="D214" s="346">
        <v>38</v>
      </c>
      <c r="E214" s="407"/>
      <c r="F214" s="407"/>
      <c r="G214" s="407"/>
      <c r="H214" s="407">
        <v>36.14</v>
      </c>
      <c r="I214" s="407"/>
      <c r="J214" s="407"/>
      <c r="K214" s="407"/>
      <c r="L214" s="407">
        <v>31.6</v>
      </c>
      <c r="M214" s="407"/>
      <c r="N214" s="407"/>
      <c r="O214" s="407"/>
      <c r="P214" s="407"/>
      <c r="Q214" s="306">
        <f t="shared" si="13"/>
        <v>33.870000000000005</v>
      </c>
      <c r="R214" s="307" t="str">
        <f t="shared" si="15"/>
        <v>NO</v>
      </c>
      <c r="S214" s="307" t="str">
        <f t="shared" si="14"/>
        <v>Medio</v>
      </c>
      <c r="T214" s="57"/>
    </row>
    <row r="215" spans="1:20" s="56" customFormat="1" ht="32.1" customHeight="1">
      <c r="A215" s="404" t="s">
        <v>134</v>
      </c>
      <c r="B215" s="302" t="s">
        <v>3673</v>
      </c>
      <c r="C215" s="302" t="s">
        <v>3674</v>
      </c>
      <c r="D215" s="346">
        <v>49</v>
      </c>
      <c r="E215" s="407"/>
      <c r="F215" s="407"/>
      <c r="G215" s="407"/>
      <c r="H215" s="407"/>
      <c r="I215" s="407">
        <v>36.14</v>
      </c>
      <c r="J215" s="407"/>
      <c r="K215" s="407"/>
      <c r="L215" s="407">
        <v>31.58</v>
      </c>
      <c r="M215" s="407"/>
      <c r="N215" s="407"/>
      <c r="O215" s="407"/>
      <c r="P215" s="407"/>
      <c r="Q215" s="306">
        <f t="shared" si="13"/>
        <v>33.86</v>
      </c>
      <c r="R215" s="307" t="str">
        <f t="shared" si="15"/>
        <v>NO</v>
      </c>
      <c r="S215" s="307" t="str">
        <f t="shared" si="14"/>
        <v>Medio</v>
      </c>
      <c r="T215" s="57"/>
    </row>
    <row r="216" spans="1:20" s="56" customFormat="1" ht="32.1" customHeight="1">
      <c r="A216" s="404" t="s">
        <v>134</v>
      </c>
      <c r="B216" s="302" t="s">
        <v>3675</v>
      </c>
      <c r="C216" s="302" t="s">
        <v>3676</v>
      </c>
      <c r="D216" s="399">
        <v>12</v>
      </c>
      <c r="E216" s="407"/>
      <c r="F216" s="407"/>
      <c r="G216" s="407">
        <v>36.1</v>
      </c>
      <c r="H216" s="407"/>
      <c r="I216" s="407">
        <v>36.14</v>
      </c>
      <c r="J216" s="407"/>
      <c r="K216" s="407"/>
      <c r="L216" s="407"/>
      <c r="M216" s="407"/>
      <c r="N216" s="407">
        <v>31.57</v>
      </c>
      <c r="O216" s="407"/>
      <c r="P216" s="407"/>
      <c r="Q216" s="306">
        <f t="shared" si="13"/>
        <v>34.603333333333332</v>
      </c>
      <c r="R216" s="307" t="str">
        <f t="shared" si="15"/>
        <v>NO</v>
      </c>
      <c r="S216" s="307" t="str">
        <f t="shared" si="14"/>
        <v>Medio</v>
      </c>
      <c r="T216" s="57"/>
    </row>
    <row r="217" spans="1:20" s="56" customFormat="1" ht="32.1" customHeight="1">
      <c r="A217" s="404" t="s">
        <v>134</v>
      </c>
      <c r="B217" s="302" t="s">
        <v>62</v>
      </c>
      <c r="C217" s="302" t="s">
        <v>3677</v>
      </c>
      <c r="D217" s="346">
        <v>122</v>
      </c>
      <c r="E217" s="407"/>
      <c r="F217" s="407"/>
      <c r="G217" s="407"/>
      <c r="H217" s="407"/>
      <c r="I217" s="407">
        <v>36.14</v>
      </c>
      <c r="J217" s="407"/>
      <c r="K217" s="407"/>
      <c r="L217" s="407"/>
      <c r="M217" s="407">
        <v>31.57</v>
      </c>
      <c r="N217" s="407"/>
      <c r="O217" s="407"/>
      <c r="P217" s="407"/>
      <c r="Q217" s="306">
        <f t="shared" si="13"/>
        <v>33.855000000000004</v>
      </c>
      <c r="R217" s="307" t="str">
        <f t="shared" si="15"/>
        <v>NO</v>
      </c>
      <c r="S217" s="307" t="str">
        <f t="shared" si="14"/>
        <v>Medio</v>
      </c>
      <c r="T217" s="57"/>
    </row>
    <row r="218" spans="1:20" s="56" customFormat="1" ht="32.1" customHeight="1">
      <c r="A218" s="404" t="s">
        <v>134</v>
      </c>
      <c r="B218" s="302" t="s">
        <v>3678</v>
      </c>
      <c r="C218" s="302" t="s">
        <v>3679</v>
      </c>
      <c r="D218" s="346">
        <v>142</v>
      </c>
      <c r="E218" s="407"/>
      <c r="F218" s="407"/>
      <c r="G218" s="407">
        <v>36.1</v>
      </c>
      <c r="H218" s="407"/>
      <c r="I218" s="407">
        <v>0</v>
      </c>
      <c r="J218" s="407"/>
      <c r="K218" s="407"/>
      <c r="L218" s="407"/>
      <c r="M218" s="407">
        <v>31.57</v>
      </c>
      <c r="N218" s="407"/>
      <c r="O218" s="407">
        <v>31.57</v>
      </c>
      <c r="P218" s="407"/>
      <c r="Q218" s="306">
        <f t="shared" si="13"/>
        <v>24.810000000000002</v>
      </c>
      <c r="R218" s="307" t="str">
        <f t="shared" si="15"/>
        <v>NO</v>
      </c>
      <c r="S218" s="307" t="str">
        <f t="shared" si="14"/>
        <v>Medio</v>
      </c>
      <c r="T218" s="57"/>
    </row>
    <row r="219" spans="1:20" s="56" customFormat="1" ht="32.1" customHeight="1">
      <c r="A219" s="404" t="s">
        <v>134</v>
      </c>
      <c r="B219" s="302" t="s">
        <v>3680</v>
      </c>
      <c r="C219" s="302" t="s">
        <v>3681</v>
      </c>
      <c r="D219" s="346">
        <v>45</v>
      </c>
      <c r="E219" s="407"/>
      <c r="F219" s="407"/>
      <c r="G219" s="407">
        <v>36.1</v>
      </c>
      <c r="H219" s="407"/>
      <c r="I219" s="407">
        <v>0</v>
      </c>
      <c r="J219" s="407"/>
      <c r="K219" s="407"/>
      <c r="L219" s="407">
        <v>0</v>
      </c>
      <c r="M219" s="407"/>
      <c r="N219" s="407"/>
      <c r="O219" s="407">
        <v>34.729999999999997</v>
      </c>
      <c r="P219" s="407"/>
      <c r="Q219" s="306">
        <f t="shared" si="13"/>
        <v>17.7075</v>
      </c>
      <c r="R219" s="307" t="str">
        <f t="shared" si="15"/>
        <v>NO</v>
      </c>
      <c r="S219" s="307" t="str">
        <f t="shared" si="14"/>
        <v>Medio</v>
      </c>
      <c r="T219" s="57"/>
    </row>
    <row r="220" spans="1:20" s="56" customFormat="1" ht="32.1" customHeight="1">
      <c r="A220" s="404" t="s">
        <v>134</v>
      </c>
      <c r="B220" s="302" t="s">
        <v>1819</v>
      </c>
      <c r="C220" s="302" t="s">
        <v>3682</v>
      </c>
      <c r="D220" s="346">
        <v>227</v>
      </c>
      <c r="E220" s="407"/>
      <c r="F220" s="407"/>
      <c r="G220" s="407">
        <v>36.14</v>
      </c>
      <c r="H220" s="407"/>
      <c r="I220" s="407">
        <v>0</v>
      </c>
      <c r="J220" s="407"/>
      <c r="K220" s="407"/>
      <c r="L220" s="407"/>
      <c r="M220" s="407">
        <v>31.57</v>
      </c>
      <c r="N220" s="407"/>
      <c r="O220" s="407">
        <v>34.729999999999997</v>
      </c>
      <c r="P220" s="407"/>
      <c r="Q220" s="306">
        <f t="shared" si="13"/>
        <v>25.61</v>
      </c>
      <c r="R220" s="307" t="str">
        <f t="shared" si="15"/>
        <v>NO</v>
      </c>
      <c r="S220" s="307" t="str">
        <f t="shared" si="14"/>
        <v>Medio</v>
      </c>
      <c r="T220" s="57"/>
    </row>
    <row r="221" spans="1:20" s="56" customFormat="1" ht="32.1" customHeight="1">
      <c r="A221" s="404" t="s">
        <v>134</v>
      </c>
      <c r="B221" s="302" t="s">
        <v>3683</v>
      </c>
      <c r="C221" s="302" t="s">
        <v>3684</v>
      </c>
      <c r="D221" s="346">
        <v>160</v>
      </c>
      <c r="E221" s="407"/>
      <c r="F221" s="407"/>
      <c r="G221" s="407"/>
      <c r="H221" s="407"/>
      <c r="I221" s="407">
        <v>96.39</v>
      </c>
      <c r="J221" s="407"/>
      <c r="K221" s="407"/>
      <c r="L221" s="407"/>
      <c r="M221" s="407"/>
      <c r="N221" s="407"/>
      <c r="O221" s="407">
        <v>31.57</v>
      </c>
      <c r="P221" s="407"/>
      <c r="Q221" s="306">
        <f t="shared" si="13"/>
        <v>63.980000000000004</v>
      </c>
      <c r="R221" s="307" t="str">
        <f t="shared" si="15"/>
        <v>NO</v>
      </c>
      <c r="S221" s="307" t="str">
        <f t="shared" si="14"/>
        <v>Alto</v>
      </c>
      <c r="T221" s="57"/>
    </row>
    <row r="222" spans="1:20" s="56" customFormat="1" ht="32.1" customHeight="1">
      <c r="A222" s="404" t="s">
        <v>134</v>
      </c>
      <c r="B222" s="302" t="s">
        <v>3685</v>
      </c>
      <c r="C222" s="302" t="s">
        <v>3686</v>
      </c>
      <c r="D222" s="346">
        <v>117</v>
      </c>
      <c r="E222" s="407"/>
      <c r="F222" s="407"/>
      <c r="G222" s="407">
        <v>36.14</v>
      </c>
      <c r="H222" s="407"/>
      <c r="I222" s="407">
        <v>0</v>
      </c>
      <c r="J222" s="407"/>
      <c r="K222" s="407"/>
      <c r="L222" s="407"/>
      <c r="M222" s="407">
        <v>31.57</v>
      </c>
      <c r="N222" s="407"/>
      <c r="O222" s="407">
        <v>3.15</v>
      </c>
      <c r="P222" s="407"/>
      <c r="Q222" s="306">
        <f t="shared" si="13"/>
        <v>17.715000000000003</v>
      </c>
      <c r="R222" s="307" t="str">
        <f t="shared" si="15"/>
        <v>NO</v>
      </c>
      <c r="S222" s="307" t="str">
        <f t="shared" si="14"/>
        <v>Medio</v>
      </c>
      <c r="T222" s="57"/>
    </row>
    <row r="223" spans="1:20" s="56" customFormat="1" ht="32.1" customHeight="1">
      <c r="A223" s="404" t="s">
        <v>134</v>
      </c>
      <c r="B223" s="302" t="s">
        <v>20</v>
      </c>
      <c r="C223" s="302" t="s">
        <v>3687</v>
      </c>
      <c r="D223" s="418">
        <v>83</v>
      </c>
      <c r="E223" s="407"/>
      <c r="F223" s="407">
        <v>53.1</v>
      </c>
      <c r="G223" s="407"/>
      <c r="H223" s="407"/>
      <c r="I223" s="407"/>
      <c r="J223" s="407"/>
      <c r="K223" s="407"/>
      <c r="L223" s="407">
        <v>96.39</v>
      </c>
      <c r="M223" s="407"/>
      <c r="N223" s="407"/>
      <c r="O223" s="407">
        <v>96.38</v>
      </c>
      <c r="P223" s="407"/>
      <c r="Q223" s="306">
        <f t="shared" si="13"/>
        <v>81.956666666666663</v>
      </c>
      <c r="R223" s="307" t="str">
        <f t="shared" si="15"/>
        <v>NO</v>
      </c>
      <c r="S223" s="307" t="str">
        <f t="shared" si="14"/>
        <v>Inviable Sanitariamente</v>
      </c>
      <c r="T223" s="57"/>
    </row>
    <row r="224" spans="1:20" s="56" customFormat="1" ht="32.1" customHeight="1">
      <c r="A224" s="404" t="s">
        <v>134</v>
      </c>
      <c r="B224" s="302" t="s">
        <v>3688</v>
      </c>
      <c r="C224" s="302" t="s">
        <v>3689</v>
      </c>
      <c r="D224" s="346">
        <v>220</v>
      </c>
      <c r="E224" s="407"/>
      <c r="F224" s="407">
        <v>36.1</v>
      </c>
      <c r="G224" s="407"/>
      <c r="H224" s="407"/>
      <c r="I224" s="407"/>
      <c r="J224" s="407"/>
      <c r="K224" s="407"/>
      <c r="L224" s="407">
        <v>31.58</v>
      </c>
      <c r="M224" s="407"/>
      <c r="N224" s="407"/>
      <c r="O224" s="407"/>
      <c r="P224" s="407"/>
      <c r="Q224" s="306">
        <f t="shared" si="13"/>
        <v>33.840000000000003</v>
      </c>
      <c r="R224" s="307" t="str">
        <f t="shared" si="15"/>
        <v>NO</v>
      </c>
      <c r="S224" s="307" t="str">
        <f t="shared" si="14"/>
        <v>Medio</v>
      </c>
      <c r="T224" s="57"/>
    </row>
    <row r="225" spans="1:20" s="56" customFormat="1" ht="32.1" customHeight="1">
      <c r="A225" s="404" t="s">
        <v>134</v>
      </c>
      <c r="B225" s="302" t="s">
        <v>3250</v>
      </c>
      <c r="C225" s="302" t="s">
        <v>3690</v>
      </c>
      <c r="D225" s="346">
        <v>71</v>
      </c>
      <c r="E225" s="407"/>
      <c r="F225" s="407"/>
      <c r="G225" s="407"/>
      <c r="H225" s="407">
        <v>0</v>
      </c>
      <c r="I225" s="407"/>
      <c r="J225" s="407"/>
      <c r="K225" s="407"/>
      <c r="L225" s="407"/>
      <c r="M225" s="407"/>
      <c r="N225" s="407"/>
      <c r="O225" s="407">
        <v>0</v>
      </c>
      <c r="P225" s="407"/>
      <c r="Q225" s="306">
        <f t="shared" si="13"/>
        <v>0</v>
      </c>
      <c r="R225" s="307" t="str">
        <f t="shared" si="15"/>
        <v>SI</v>
      </c>
      <c r="S225" s="307" t="str">
        <f t="shared" si="14"/>
        <v>Sin Riesgo</v>
      </c>
      <c r="T225" s="57"/>
    </row>
    <row r="226" spans="1:20" s="56" customFormat="1" ht="32.1" customHeight="1">
      <c r="A226" s="404" t="s">
        <v>134</v>
      </c>
      <c r="B226" s="302" t="s">
        <v>3691</v>
      </c>
      <c r="C226" s="302" t="s">
        <v>3692</v>
      </c>
      <c r="D226" s="346">
        <v>85</v>
      </c>
      <c r="E226" s="407"/>
      <c r="F226" s="407"/>
      <c r="G226" s="407"/>
      <c r="H226" s="407">
        <v>0</v>
      </c>
      <c r="I226" s="407"/>
      <c r="J226" s="407"/>
      <c r="K226" s="407"/>
      <c r="L226" s="407"/>
      <c r="M226" s="407"/>
      <c r="N226" s="407"/>
      <c r="O226" s="407">
        <v>0</v>
      </c>
      <c r="P226" s="407"/>
      <c r="Q226" s="306">
        <f t="shared" si="13"/>
        <v>0</v>
      </c>
      <c r="R226" s="307" t="str">
        <f t="shared" si="15"/>
        <v>SI</v>
      </c>
      <c r="S226" s="307" t="str">
        <f t="shared" si="14"/>
        <v>Sin Riesgo</v>
      </c>
      <c r="T226" s="57"/>
    </row>
    <row r="227" spans="1:20" s="56" customFormat="1" ht="32.1" customHeight="1">
      <c r="A227" s="404" t="s">
        <v>134</v>
      </c>
      <c r="B227" s="302" t="s">
        <v>3693</v>
      </c>
      <c r="C227" s="302" t="s">
        <v>3694</v>
      </c>
      <c r="D227" s="346">
        <v>89</v>
      </c>
      <c r="E227" s="407"/>
      <c r="F227" s="407">
        <v>0</v>
      </c>
      <c r="G227" s="407"/>
      <c r="H227" s="407"/>
      <c r="I227" s="407"/>
      <c r="J227" s="407"/>
      <c r="K227" s="407"/>
      <c r="L227" s="407">
        <v>0</v>
      </c>
      <c r="M227" s="407"/>
      <c r="N227" s="407"/>
      <c r="O227" s="407"/>
      <c r="P227" s="407"/>
      <c r="Q227" s="306">
        <f t="shared" si="13"/>
        <v>0</v>
      </c>
      <c r="R227" s="307" t="str">
        <f t="shared" si="15"/>
        <v>SI</v>
      </c>
      <c r="S227" s="307" t="str">
        <f t="shared" si="14"/>
        <v>Sin Riesgo</v>
      </c>
      <c r="T227" s="57"/>
    </row>
    <row r="228" spans="1:20" s="56" customFormat="1" ht="32.1" customHeight="1">
      <c r="A228" s="404" t="s">
        <v>134</v>
      </c>
      <c r="B228" s="302" t="s">
        <v>3695</v>
      </c>
      <c r="C228" s="302" t="s">
        <v>3696</v>
      </c>
      <c r="D228" s="346">
        <v>96</v>
      </c>
      <c r="E228" s="407"/>
      <c r="F228" s="407">
        <v>0</v>
      </c>
      <c r="G228" s="407"/>
      <c r="H228" s="407"/>
      <c r="I228" s="407"/>
      <c r="J228" s="407"/>
      <c r="K228" s="407"/>
      <c r="L228" s="407">
        <v>0</v>
      </c>
      <c r="M228" s="407"/>
      <c r="N228" s="407"/>
      <c r="O228" s="407"/>
      <c r="P228" s="407"/>
      <c r="Q228" s="306">
        <f t="shared" si="13"/>
        <v>0</v>
      </c>
      <c r="R228" s="307" t="str">
        <f t="shared" si="15"/>
        <v>SI</v>
      </c>
      <c r="S228" s="307" t="str">
        <f t="shared" si="14"/>
        <v>Sin Riesgo</v>
      </c>
      <c r="T228" s="57"/>
    </row>
    <row r="229" spans="1:20" s="56" customFormat="1" ht="32.1" customHeight="1">
      <c r="A229" s="404" t="s">
        <v>134</v>
      </c>
      <c r="B229" s="302" t="s">
        <v>631</v>
      </c>
      <c r="C229" s="302" t="s">
        <v>3697</v>
      </c>
      <c r="D229" s="346">
        <v>17</v>
      </c>
      <c r="E229" s="407"/>
      <c r="F229" s="407"/>
      <c r="G229" s="407"/>
      <c r="H229" s="407">
        <v>36.14</v>
      </c>
      <c r="I229" s="407"/>
      <c r="J229" s="407"/>
      <c r="K229" s="407"/>
      <c r="L229" s="407"/>
      <c r="M229" s="407"/>
      <c r="N229" s="407"/>
      <c r="O229" s="407">
        <v>31.57</v>
      </c>
      <c r="P229" s="407"/>
      <c r="Q229" s="306">
        <f t="shared" ref="Q229:Q262" si="16">AVERAGE(E229:P229)</f>
        <v>33.855000000000004</v>
      </c>
      <c r="R229" s="307" t="str">
        <f t="shared" si="15"/>
        <v>NO</v>
      </c>
      <c r="S229" s="307" t="str">
        <f t="shared" si="14"/>
        <v>Medio</v>
      </c>
      <c r="T229" s="57"/>
    </row>
    <row r="230" spans="1:20" s="56" customFormat="1" ht="32.1" customHeight="1">
      <c r="A230" s="404" t="s">
        <v>134</v>
      </c>
      <c r="B230" s="302" t="s">
        <v>2873</v>
      </c>
      <c r="C230" s="336" t="s">
        <v>3698</v>
      </c>
      <c r="D230" s="529">
        <v>27</v>
      </c>
      <c r="E230" s="530"/>
      <c r="F230" s="530"/>
      <c r="G230" s="407"/>
      <c r="H230" s="407">
        <v>36.14</v>
      </c>
      <c r="I230" s="407"/>
      <c r="J230" s="407"/>
      <c r="K230" s="407"/>
      <c r="L230" s="407"/>
      <c r="M230" s="407"/>
      <c r="N230" s="407"/>
      <c r="O230" s="407">
        <v>31.57</v>
      </c>
      <c r="P230" s="407"/>
      <c r="Q230" s="306">
        <f t="shared" si="16"/>
        <v>33.855000000000004</v>
      </c>
      <c r="R230" s="307" t="str">
        <f t="shared" si="15"/>
        <v>NO</v>
      </c>
      <c r="S230" s="307" t="str">
        <f t="shared" si="14"/>
        <v>Medio</v>
      </c>
      <c r="T230" s="57"/>
    </row>
    <row r="231" spans="1:20" s="56" customFormat="1" ht="32.1" customHeight="1">
      <c r="A231" s="404" t="s">
        <v>134</v>
      </c>
      <c r="B231" s="302" t="s">
        <v>234</v>
      </c>
      <c r="C231" s="302" t="s">
        <v>3975</v>
      </c>
      <c r="D231" s="346">
        <v>50</v>
      </c>
      <c r="E231" s="47"/>
      <c r="F231" s="47"/>
      <c r="G231" s="528">
        <v>36.1</v>
      </c>
      <c r="H231" s="407">
        <v>36.1</v>
      </c>
      <c r="I231" s="407"/>
      <c r="J231" s="407"/>
      <c r="K231" s="407"/>
      <c r="L231" s="407"/>
      <c r="M231" s="407"/>
      <c r="N231" s="407"/>
      <c r="O231" s="407">
        <v>31.57</v>
      </c>
      <c r="P231" s="407"/>
      <c r="Q231" s="306">
        <f>AVERAGE(E231:P231)</f>
        <v>34.590000000000003</v>
      </c>
      <c r="R231" s="307" t="str">
        <f t="shared" si="15"/>
        <v>NO</v>
      </c>
      <c r="S231" s="307" t="str">
        <f t="shared" si="14"/>
        <v>Medio</v>
      </c>
      <c r="T231" s="57"/>
    </row>
    <row r="232" spans="1:20" s="56" customFormat="1" ht="32.1" customHeight="1">
      <c r="A232" s="404" t="s">
        <v>134</v>
      </c>
      <c r="B232" s="302" t="s">
        <v>3976</v>
      </c>
      <c r="C232" s="302" t="s">
        <v>3975</v>
      </c>
      <c r="D232" s="346">
        <v>33</v>
      </c>
      <c r="E232" s="47"/>
      <c r="F232" s="47"/>
      <c r="G232" s="528"/>
      <c r="H232" s="407">
        <v>36.14</v>
      </c>
      <c r="I232" s="407"/>
      <c r="J232" s="407"/>
      <c r="K232" s="407"/>
      <c r="L232" s="407"/>
      <c r="M232" s="407"/>
      <c r="N232" s="407"/>
      <c r="O232" s="407">
        <v>31.57</v>
      </c>
      <c r="P232" s="407"/>
      <c r="Q232" s="306">
        <f>AVERAGE(E232:P232)</f>
        <v>33.855000000000004</v>
      </c>
      <c r="R232" s="307" t="str">
        <f t="shared" si="15"/>
        <v>NO</v>
      </c>
      <c r="S232" s="307" t="str">
        <f t="shared" si="14"/>
        <v>Medio</v>
      </c>
      <c r="T232" s="57"/>
    </row>
    <row r="233" spans="1:20" s="142" customFormat="1" ht="32.1" customHeight="1">
      <c r="A233" s="562" t="s">
        <v>135</v>
      </c>
      <c r="B233" s="563" t="s">
        <v>3699</v>
      </c>
      <c r="C233" s="563" t="s">
        <v>3700</v>
      </c>
      <c r="D233" s="304">
        <v>64</v>
      </c>
      <c r="E233" s="308"/>
      <c r="F233" s="305">
        <v>80.8</v>
      </c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6">
        <f t="shared" si="16"/>
        <v>80.8</v>
      </c>
      <c r="R233" s="307" t="str">
        <f t="shared" si="15"/>
        <v>NO</v>
      </c>
      <c r="S233" s="307" t="str">
        <f t="shared" si="14"/>
        <v>Inviable Sanitariamente</v>
      </c>
      <c r="T233" s="146"/>
    </row>
    <row r="234" spans="1:20" s="56" customFormat="1" ht="32.1" customHeight="1">
      <c r="A234" s="562" t="s">
        <v>135</v>
      </c>
      <c r="B234" s="563" t="s">
        <v>3701</v>
      </c>
      <c r="C234" s="563" t="s">
        <v>3702</v>
      </c>
      <c r="D234" s="304">
        <v>100</v>
      </c>
      <c r="E234" s="305"/>
      <c r="F234" s="305"/>
      <c r="G234" s="305"/>
      <c r="H234" s="305"/>
      <c r="I234" s="305"/>
      <c r="J234" s="305"/>
      <c r="K234" s="305"/>
      <c r="L234" s="305">
        <v>90.9</v>
      </c>
      <c r="M234" s="305"/>
      <c r="N234" s="305"/>
      <c r="O234" s="305"/>
      <c r="P234" s="305"/>
      <c r="Q234" s="306">
        <f t="shared" si="16"/>
        <v>90.9</v>
      </c>
      <c r="R234" s="307" t="str">
        <f t="shared" si="15"/>
        <v>NO</v>
      </c>
      <c r="S234" s="307" t="str">
        <f t="shared" si="14"/>
        <v>Inviable Sanitariamente</v>
      </c>
      <c r="T234" s="57"/>
    </row>
    <row r="235" spans="1:20" s="56" customFormat="1" ht="32.1" customHeight="1">
      <c r="A235" s="562" t="s">
        <v>135</v>
      </c>
      <c r="B235" s="563" t="s">
        <v>2873</v>
      </c>
      <c r="C235" s="563" t="s">
        <v>3703</v>
      </c>
      <c r="D235" s="304">
        <v>25</v>
      </c>
      <c r="E235" s="305"/>
      <c r="F235" s="305"/>
      <c r="G235" s="305"/>
      <c r="H235" s="305">
        <v>90.9</v>
      </c>
      <c r="I235" s="305"/>
      <c r="J235" s="305"/>
      <c r="K235" s="305"/>
      <c r="L235" s="305"/>
      <c r="M235" s="305"/>
      <c r="N235" s="305"/>
      <c r="O235" s="305"/>
      <c r="P235" s="305"/>
      <c r="Q235" s="306">
        <f t="shared" si="16"/>
        <v>90.9</v>
      </c>
      <c r="R235" s="307" t="str">
        <f t="shared" si="15"/>
        <v>NO</v>
      </c>
      <c r="S235" s="307" t="str">
        <f t="shared" si="14"/>
        <v>Inviable Sanitariamente</v>
      </c>
      <c r="T235" s="57"/>
    </row>
    <row r="236" spans="1:20" s="56" customFormat="1" ht="32.1" customHeight="1">
      <c r="A236" s="562" t="s">
        <v>135</v>
      </c>
      <c r="B236" s="563" t="s">
        <v>3704</v>
      </c>
      <c r="C236" s="563" t="s">
        <v>3705</v>
      </c>
      <c r="D236" s="304">
        <v>30</v>
      </c>
      <c r="E236" s="305"/>
      <c r="F236" s="305"/>
      <c r="G236" s="305">
        <v>90.6</v>
      </c>
      <c r="H236" s="305"/>
      <c r="I236" s="305"/>
      <c r="J236" s="305"/>
      <c r="K236" s="305"/>
      <c r="L236" s="305"/>
      <c r="M236" s="305"/>
      <c r="N236" s="305"/>
      <c r="O236" s="305"/>
      <c r="P236" s="305"/>
      <c r="Q236" s="306">
        <f t="shared" si="16"/>
        <v>90.6</v>
      </c>
      <c r="R236" s="307" t="str">
        <f t="shared" si="15"/>
        <v>NO</v>
      </c>
      <c r="S236" s="307" t="str">
        <f t="shared" si="14"/>
        <v>Inviable Sanitariamente</v>
      </c>
      <c r="T236" s="57"/>
    </row>
    <row r="237" spans="1:20" s="56" customFormat="1" ht="32.1" customHeight="1">
      <c r="A237" s="562" t="s">
        <v>135</v>
      </c>
      <c r="B237" s="563" t="s">
        <v>3706</v>
      </c>
      <c r="C237" s="563" t="s">
        <v>3707</v>
      </c>
      <c r="D237" s="304">
        <v>176</v>
      </c>
      <c r="E237" s="305"/>
      <c r="F237" s="305"/>
      <c r="G237" s="305"/>
      <c r="H237" s="305"/>
      <c r="I237" s="305"/>
      <c r="J237" s="305"/>
      <c r="K237" s="305"/>
      <c r="L237" s="305"/>
      <c r="M237" s="305"/>
      <c r="N237" s="305"/>
      <c r="O237" s="305">
        <v>0</v>
      </c>
      <c r="P237" s="305"/>
      <c r="Q237" s="306">
        <f t="shared" si="16"/>
        <v>0</v>
      </c>
      <c r="R237" s="307" t="str">
        <f t="shared" si="15"/>
        <v>SI</v>
      </c>
      <c r="S237" s="307" t="str">
        <f t="shared" si="14"/>
        <v>Sin Riesgo</v>
      </c>
      <c r="T237" s="57"/>
    </row>
    <row r="238" spans="1:20" s="56" customFormat="1" ht="32.1" customHeight="1">
      <c r="A238" s="562" t="s">
        <v>135</v>
      </c>
      <c r="B238" s="563" t="s">
        <v>3708</v>
      </c>
      <c r="C238" s="563" t="s">
        <v>3709</v>
      </c>
      <c r="D238" s="304">
        <v>16</v>
      </c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5"/>
      <c r="Q238" s="306"/>
      <c r="R238" s="307"/>
      <c r="S238" s="307"/>
      <c r="T238" s="57"/>
    </row>
    <row r="239" spans="1:20" s="56" customFormat="1" ht="32.1" customHeight="1">
      <c r="A239" s="562" t="s">
        <v>135</v>
      </c>
      <c r="B239" s="563" t="s">
        <v>3710</v>
      </c>
      <c r="C239" s="563" t="s">
        <v>3711</v>
      </c>
      <c r="D239" s="304">
        <v>80</v>
      </c>
      <c r="E239" s="305"/>
      <c r="F239" s="305"/>
      <c r="G239" s="305"/>
      <c r="H239" s="305"/>
      <c r="I239" s="305"/>
      <c r="J239" s="305"/>
      <c r="K239" s="305"/>
      <c r="L239" s="305"/>
      <c r="M239" s="305"/>
      <c r="N239" s="305"/>
      <c r="O239" s="305"/>
      <c r="P239" s="305"/>
      <c r="Q239" s="306"/>
      <c r="R239" s="307"/>
      <c r="S239" s="307"/>
      <c r="T239" s="57"/>
    </row>
    <row r="240" spans="1:20" s="56" customFormat="1" ht="32.1" customHeight="1">
      <c r="A240" s="562" t="s">
        <v>135</v>
      </c>
      <c r="B240" s="563" t="s">
        <v>3712</v>
      </c>
      <c r="C240" s="563" t="s">
        <v>3713</v>
      </c>
      <c r="D240" s="304">
        <v>90</v>
      </c>
      <c r="E240" s="305"/>
      <c r="F240" s="305"/>
      <c r="G240" s="305"/>
      <c r="H240" s="305"/>
      <c r="I240" s="305"/>
      <c r="J240" s="305"/>
      <c r="K240" s="305"/>
      <c r="L240" s="305">
        <v>90.9</v>
      </c>
      <c r="M240" s="305"/>
      <c r="N240" s="305"/>
      <c r="O240" s="305"/>
      <c r="P240" s="305"/>
      <c r="Q240" s="306">
        <f t="shared" si="16"/>
        <v>90.9</v>
      </c>
      <c r="R240" s="307" t="str">
        <f t="shared" si="15"/>
        <v>NO</v>
      </c>
      <c r="S240" s="307" t="str">
        <f t="shared" si="14"/>
        <v>Inviable Sanitariamente</v>
      </c>
      <c r="T240" s="57"/>
    </row>
    <row r="241" spans="1:20" s="56" customFormat="1" ht="32.1" customHeight="1">
      <c r="A241" s="562" t="s">
        <v>135</v>
      </c>
      <c r="B241" s="563" t="s">
        <v>1</v>
      </c>
      <c r="C241" s="563" t="s">
        <v>3714</v>
      </c>
      <c r="D241" s="304">
        <v>16</v>
      </c>
      <c r="E241" s="305"/>
      <c r="F241" s="305"/>
      <c r="G241" s="305"/>
      <c r="H241" s="305"/>
      <c r="I241" s="305">
        <v>90.9</v>
      </c>
      <c r="J241" s="305"/>
      <c r="K241" s="305"/>
      <c r="L241" s="305">
        <v>90.85</v>
      </c>
      <c r="M241" s="305"/>
      <c r="N241" s="305"/>
      <c r="O241" s="305"/>
      <c r="P241" s="305"/>
      <c r="Q241" s="306">
        <f t="shared" si="16"/>
        <v>90.875</v>
      </c>
      <c r="R241" s="307" t="str">
        <f t="shared" si="15"/>
        <v>NO</v>
      </c>
      <c r="S241" s="307" t="str">
        <f t="shared" si="14"/>
        <v>Inviable Sanitariamente</v>
      </c>
      <c r="T241" s="57"/>
    </row>
    <row r="242" spans="1:20" s="56" customFormat="1" ht="32.1" customHeight="1">
      <c r="A242" s="562" t="s">
        <v>135</v>
      </c>
      <c r="B242" s="563" t="s">
        <v>3715</v>
      </c>
      <c r="C242" s="563" t="s">
        <v>3716</v>
      </c>
      <c r="D242" s="304">
        <v>16</v>
      </c>
      <c r="E242" s="305"/>
      <c r="F242" s="305"/>
      <c r="G242" s="305"/>
      <c r="H242" s="305"/>
      <c r="I242" s="305"/>
      <c r="J242" s="305"/>
      <c r="K242" s="305"/>
      <c r="L242" s="305"/>
      <c r="M242" s="305"/>
      <c r="N242" s="305">
        <v>98</v>
      </c>
      <c r="O242" s="305"/>
      <c r="P242" s="305"/>
      <c r="Q242" s="306">
        <f t="shared" si="16"/>
        <v>98</v>
      </c>
      <c r="R242" s="307" t="str">
        <f t="shared" si="15"/>
        <v>NO</v>
      </c>
      <c r="S242" s="307" t="str">
        <f t="shared" si="14"/>
        <v>Inviable Sanitariamente</v>
      </c>
      <c r="T242" s="57"/>
    </row>
    <row r="243" spans="1:20" s="56" customFormat="1" ht="32.1" customHeight="1">
      <c r="A243" s="562" t="s">
        <v>135</v>
      </c>
      <c r="B243" s="563" t="s">
        <v>3717</v>
      </c>
      <c r="C243" s="563" t="s">
        <v>3718</v>
      </c>
      <c r="D243" s="304">
        <v>55</v>
      </c>
      <c r="E243" s="305"/>
      <c r="F243" s="305">
        <v>90.9</v>
      </c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  <c r="Q243" s="306">
        <f t="shared" si="16"/>
        <v>90.9</v>
      </c>
      <c r="R243" s="307" t="str">
        <f t="shared" si="15"/>
        <v>NO</v>
      </c>
      <c r="S243" s="307" t="str">
        <f t="shared" si="14"/>
        <v>Inviable Sanitariamente</v>
      </c>
      <c r="T243" s="57"/>
    </row>
    <row r="244" spans="1:20" s="56" customFormat="1" ht="45" customHeight="1">
      <c r="A244" s="562" t="s">
        <v>135</v>
      </c>
      <c r="B244" s="563" t="s">
        <v>3719</v>
      </c>
      <c r="C244" s="563" t="s">
        <v>3720</v>
      </c>
      <c r="D244" s="304">
        <v>85</v>
      </c>
      <c r="E244" s="305"/>
      <c r="F244" s="305">
        <v>80.8</v>
      </c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  <c r="Q244" s="306">
        <f t="shared" si="16"/>
        <v>80.8</v>
      </c>
      <c r="R244" s="307" t="str">
        <f t="shared" si="15"/>
        <v>NO</v>
      </c>
      <c r="S244" s="307" t="str">
        <f t="shared" si="14"/>
        <v>Inviable Sanitariamente</v>
      </c>
      <c r="T244" s="57"/>
    </row>
    <row r="245" spans="1:20" s="56" customFormat="1" ht="32.1" customHeight="1">
      <c r="A245" s="404" t="s">
        <v>136</v>
      </c>
      <c r="B245" s="302" t="s">
        <v>3721</v>
      </c>
      <c r="C245" s="303" t="s">
        <v>3722</v>
      </c>
      <c r="D245" s="346">
        <v>302</v>
      </c>
      <c r="E245" s="378"/>
      <c r="F245" s="378"/>
      <c r="G245" s="378"/>
      <c r="H245" s="47">
        <v>53</v>
      </c>
      <c r="I245" s="47"/>
      <c r="J245" s="47"/>
      <c r="K245" s="47"/>
      <c r="L245" s="47"/>
      <c r="M245" s="47"/>
      <c r="N245" s="47">
        <v>53</v>
      </c>
      <c r="O245" s="47"/>
      <c r="P245" s="378"/>
      <c r="Q245" s="306">
        <f t="shared" si="16"/>
        <v>53</v>
      </c>
      <c r="R245" s="307" t="str">
        <f t="shared" si="15"/>
        <v>NO</v>
      </c>
      <c r="S245" s="307" t="str">
        <f t="shared" si="14"/>
        <v>Alto</v>
      </c>
      <c r="T245" s="57"/>
    </row>
    <row r="246" spans="1:20" s="56" customFormat="1" ht="32.1" customHeight="1">
      <c r="A246" s="404" t="s">
        <v>136</v>
      </c>
      <c r="B246" s="302" t="s">
        <v>3723</v>
      </c>
      <c r="C246" s="303" t="s">
        <v>3724</v>
      </c>
      <c r="D246" s="346">
        <v>76</v>
      </c>
      <c r="E246" s="378"/>
      <c r="F246" s="378"/>
      <c r="G246" s="378"/>
      <c r="H246" s="47"/>
      <c r="I246" s="47"/>
      <c r="J246" s="47">
        <v>53</v>
      </c>
      <c r="K246" s="47"/>
      <c r="L246" s="47"/>
      <c r="M246" s="47"/>
      <c r="N246" s="47"/>
      <c r="O246" s="47">
        <v>53</v>
      </c>
      <c r="P246" s="378"/>
      <c r="Q246" s="306">
        <f t="shared" si="16"/>
        <v>53</v>
      </c>
      <c r="R246" s="307" t="str">
        <f t="shared" si="15"/>
        <v>NO</v>
      </c>
      <c r="S246" s="307" t="str">
        <f t="shared" si="14"/>
        <v>Alto</v>
      </c>
      <c r="T246" s="57"/>
    </row>
    <row r="247" spans="1:20" s="56" customFormat="1" ht="32.1" customHeight="1">
      <c r="A247" s="404" t="s">
        <v>136</v>
      </c>
      <c r="B247" s="302" t="s">
        <v>3725</v>
      </c>
      <c r="C247" s="303" t="s">
        <v>3726</v>
      </c>
      <c r="D247" s="346">
        <v>57</v>
      </c>
      <c r="E247" s="378"/>
      <c r="F247" s="378"/>
      <c r="G247" s="378"/>
      <c r="H247" s="47"/>
      <c r="I247" s="47"/>
      <c r="J247" s="47">
        <v>53</v>
      </c>
      <c r="K247" s="47"/>
      <c r="L247" s="47"/>
      <c r="M247" s="47"/>
      <c r="N247" s="47"/>
      <c r="O247" s="47">
        <v>53</v>
      </c>
      <c r="P247" s="378"/>
      <c r="Q247" s="306">
        <f t="shared" si="16"/>
        <v>53</v>
      </c>
      <c r="R247" s="307" t="str">
        <f t="shared" si="15"/>
        <v>NO</v>
      </c>
      <c r="S247" s="307" t="str">
        <f t="shared" si="14"/>
        <v>Alto</v>
      </c>
      <c r="T247" s="57"/>
    </row>
    <row r="248" spans="1:20" s="56" customFormat="1" ht="32.1" customHeight="1">
      <c r="A248" s="404" t="s">
        <v>136</v>
      </c>
      <c r="B248" s="302" t="s">
        <v>3727</v>
      </c>
      <c r="C248" s="303" t="s">
        <v>3728</v>
      </c>
      <c r="D248" s="346">
        <v>90</v>
      </c>
      <c r="E248" s="378"/>
      <c r="F248" s="378"/>
      <c r="G248" s="378"/>
      <c r="H248" s="47">
        <v>53</v>
      </c>
      <c r="I248" s="47"/>
      <c r="J248" s="47"/>
      <c r="K248" s="47"/>
      <c r="L248" s="47"/>
      <c r="M248" s="47"/>
      <c r="N248" s="47">
        <v>53</v>
      </c>
      <c r="O248" s="47"/>
      <c r="P248" s="378"/>
      <c r="Q248" s="306">
        <f t="shared" si="16"/>
        <v>53</v>
      </c>
      <c r="R248" s="307" t="str">
        <f t="shared" si="15"/>
        <v>NO</v>
      </c>
      <c r="S248" s="307" t="str">
        <f t="shared" si="14"/>
        <v>Alto</v>
      </c>
      <c r="T248" s="57"/>
    </row>
    <row r="249" spans="1:20" s="56" customFormat="1" ht="32.1" customHeight="1">
      <c r="A249" s="404" t="s">
        <v>136</v>
      </c>
      <c r="B249" s="302" t="s">
        <v>3729</v>
      </c>
      <c r="C249" s="303" t="s">
        <v>3730</v>
      </c>
      <c r="D249" s="346">
        <v>103</v>
      </c>
      <c r="E249" s="378"/>
      <c r="F249" s="378"/>
      <c r="G249" s="378"/>
      <c r="H249" s="47">
        <v>53</v>
      </c>
      <c r="I249" s="47"/>
      <c r="J249" s="47"/>
      <c r="K249" s="47"/>
      <c r="L249" s="47"/>
      <c r="M249" s="47"/>
      <c r="N249" s="47">
        <v>53</v>
      </c>
      <c r="O249" s="47"/>
      <c r="P249" s="378"/>
      <c r="Q249" s="306">
        <f t="shared" si="16"/>
        <v>53</v>
      </c>
      <c r="R249" s="307" t="str">
        <f t="shared" si="15"/>
        <v>NO</v>
      </c>
      <c r="S249" s="307" t="str">
        <f t="shared" si="14"/>
        <v>Alto</v>
      </c>
      <c r="T249" s="57"/>
    </row>
    <row r="250" spans="1:20" s="56" customFormat="1" ht="32.1" customHeight="1">
      <c r="A250" s="404" t="s">
        <v>136</v>
      </c>
      <c r="B250" s="302" t="s">
        <v>3731</v>
      </c>
      <c r="C250" s="303" t="s">
        <v>3732</v>
      </c>
      <c r="D250" s="346">
        <v>641</v>
      </c>
      <c r="E250" s="378"/>
      <c r="F250" s="378"/>
      <c r="G250" s="378"/>
      <c r="H250" s="47">
        <v>53</v>
      </c>
      <c r="I250" s="47"/>
      <c r="J250" s="47"/>
      <c r="K250" s="47"/>
      <c r="L250" s="47"/>
      <c r="M250" s="47"/>
      <c r="N250" s="47">
        <v>53</v>
      </c>
      <c r="O250" s="47"/>
      <c r="P250" s="378"/>
      <c r="Q250" s="306">
        <f t="shared" si="16"/>
        <v>53</v>
      </c>
      <c r="R250" s="307" t="str">
        <f t="shared" si="15"/>
        <v>NO</v>
      </c>
      <c r="S250" s="307" t="str">
        <f t="shared" si="14"/>
        <v>Alto</v>
      </c>
      <c r="T250" s="57"/>
    </row>
    <row r="251" spans="1:20" s="56" customFormat="1" ht="32.1" customHeight="1">
      <c r="A251" s="404" t="s">
        <v>136</v>
      </c>
      <c r="B251" s="302" t="s">
        <v>3733</v>
      </c>
      <c r="C251" s="303" t="s">
        <v>3734</v>
      </c>
      <c r="D251" s="346">
        <v>156</v>
      </c>
      <c r="E251" s="378"/>
      <c r="F251" s="378"/>
      <c r="G251" s="378"/>
      <c r="H251" s="47"/>
      <c r="I251" s="47">
        <v>53</v>
      </c>
      <c r="J251" s="47"/>
      <c r="K251" s="47"/>
      <c r="L251" s="47"/>
      <c r="M251" s="47"/>
      <c r="N251" s="47"/>
      <c r="O251" s="47">
        <v>53</v>
      </c>
      <c r="P251" s="378"/>
      <c r="Q251" s="306">
        <f t="shared" si="16"/>
        <v>53</v>
      </c>
      <c r="R251" s="307" t="str">
        <f t="shared" si="15"/>
        <v>NO</v>
      </c>
      <c r="S251" s="307" t="str">
        <f t="shared" si="14"/>
        <v>Alto</v>
      </c>
      <c r="T251" s="57"/>
    </row>
    <row r="252" spans="1:20" s="56" customFormat="1" ht="32.1" customHeight="1">
      <c r="A252" s="404" t="s">
        <v>136</v>
      </c>
      <c r="B252" s="302" t="s">
        <v>3735</v>
      </c>
      <c r="C252" s="303" t="s">
        <v>3736</v>
      </c>
      <c r="D252" s="399">
        <v>32</v>
      </c>
      <c r="E252" s="378"/>
      <c r="F252" s="378"/>
      <c r="G252" s="378"/>
      <c r="H252" s="47"/>
      <c r="I252" s="47">
        <v>53</v>
      </c>
      <c r="J252" s="47"/>
      <c r="K252" s="47"/>
      <c r="L252" s="47"/>
      <c r="M252" s="47"/>
      <c r="N252" s="47">
        <v>53</v>
      </c>
      <c r="O252" s="47"/>
      <c r="P252" s="378"/>
      <c r="Q252" s="306">
        <f t="shared" si="16"/>
        <v>53</v>
      </c>
      <c r="R252" s="307" t="str">
        <f t="shared" si="15"/>
        <v>NO</v>
      </c>
      <c r="S252" s="307" t="str">
        <f t="shared" si="14"/>
        <v>Alto</v>
      </c>
      <c r="T252" s="57"/>
    </row>
    <row r="253" spans="1:20" s="56" customFormat="1" ht="32.1" customHeight="1">
      <c r="A253" s="404" t="s">
        <v>137</v>
      </c>
      <c r="B253" s="302" t="s">
        <v>3737</v>
      </c>
      <c r="C253" s="303" t="s">
        <v>3738</v>
      </c>
      <c r="D253" s="346">
        <v>684</v>
      </c>
      <c r="E253" s="407">
        <v>0</v>
      </c>
      <c r="F253" s="407">
        <v>0</v>
      </c>
      <c r="G253" s="407">
        <v>0</v>
      </c>
      <c r="H253" s="407">
        <v>0</v>
      </c>
      <c r="I253" s="407">
        <v>36.5</v>
      </c>
      <c r="J253" s="407">
        <v>33.6</v>
      </c>
      <c r="K253" s="407">
        <v>9.6774000000000004</v>
      </c>
      <c r="L253" s="407">
        <v>24</v>
      </c>
      <c r="M253" s="407">
        <v>45.652099999999997</v>
      </c>
      <c r="N253" s="407">
        <v>0</v>
      </c>
      <c r="O253" s="407">
        <v>0</v>
      </c>
      <c r="P253" s="407">
        <v>0</v>
      </c>
      <c r="Q253" s="306">
        <f t="shared" si="16"/>
        <v>12.452458333333333</v>
      </c>
      <c r="R253" s="307" t="str">
        <f t="shared" si="15"/>
        <v>NO</v>
      </c>
      <c r="S253" s="307" t="str">
        <f t="shared" si="14"/>
        <v>Bajo</v>
      </c>
      <c r="T253" s="57"/>
    </row>
    <row r="254" spans="1:20" s="56" customFormat="1" ht="32.1" customHeight="1">
      <c r="A254" s="404" t="s">
        <v>137</v>
      </c>
      <c r="B254" s="302" t="s">
        <v>3739</v>
      </c>
      <c r="C254" s="303" t="s">
        <v>3740</v>
      </c>
      <c r="D254" s="346">
        <v>128</v>
      </c>
      <c r="E254" s="407"/>
      <c r="F254" s="407"/>
      <c r="G254" s="407"/>
      <c r="H254" s="407"/>
      <c r="I254" s="407"/>
      <c r="J254" s="407"/>
      <c r="K254" s="407"/>
      <c r="L254" s="407"/>
      <c r="M254" s="407"/>
      <c r="N254" s="407"/>
      <c r="O254" s="407">
        <v>97.6</v>
      </c>
      <c r="P254" s="407"/>
      <c r="Q254" s="306">
        <f t="shared" si="16"/>
        <v>97.6</v>
      </c>
      <c r="R254" s="307" t="str">
        <f t="shared" si="15"/>
        <v>NO</v>
      </c>
      <c r="S254" s="307" t="str">
        <f t="shared" si="14"/>
        <v>Inviable Sanitariamente</v>
      </c>
      <c r="T254" s="57"/>
    </row>
    <row r="255" spans="1:20" s="56" customFormat="1" ht="32.1" customHeight="1">
      <c r="A255" s="404" t="s">
        <v>137</v>
      </c>
      <c r="B255" s="302" t="s">
        <v>510</v>
      </c>
      <c r="C255" s="303" t="s">
        <v>2844</v>
      </c>
      <c r="D255" s="346">
        <v>50</v>
      </c>
      <c r="E255" s="407"/>
      <c r="F255" s="407"/>
      <c r="G255" s="407"/>
      <c r="H255" s="407"/>
      <c r="I255" s="407"/>
      <c r="J255" s="407"/>
      <c r="K255" s="407"/>
      <c r="L255" s="407"/>
      <c r="M255" s="407">
        <v>97.35</v>
      </c>
      <c r="N255" s="407"/>
      <c r="O255" s="407"/>
      <c r="P255" s="407"/>
      <c r="Q255" s="306">
        <f t="shared" si="16"/>
        <v>97.35</v>
      </c>
      <c r="R255" s="307" t="str">
        <f t="shared" si="15"/>
        <v>NO</v>
      </c>
      <c r="S255" s="307" t="str">
        <f t="shared" si="14"/>
        <v>Inviable Sanitariamente</v>
      </c>
      <c r="T255" s="57"/>
    </row>
    <row r="256" spans="1:20" s="56" customFormat="1" ht="32.1" customHeight="1">
      <c r="A256" s="404" t="s">
        <v>137</v>
      </c>
      <c r="B256" s="302" t="s">
        <v>3741</v>
      </c>
      <c r="C256" s="303" t="s">
        <v>3742</v>
      </c>
      <c r="D256" s="346">
        <v>137</v>
      </c>
      <c r="E256" s="407"/>
      <c r="F256" s="407"/>
      <c r="G256" s="407"/>
      <c r="H256" s="407"/>
      <c r="I256" s="407"/>
      <c r="J256" s="407"/>
      <c r="K256" s="407"/>
      <c r="L256" s="407"/>
      <c r="M256" s="407">
        <v>90.91</v>
      </c>
      <c r="N256" s="407"/>
      <c r="O256" s="407"/>
      <c r="P256" s="407"/>
      <c r="Q256" s="306">
        <f t="shared" si="16"/>
        <v>90.91</v>
      </c>
      <c r="R256" s="307" t="str">
        <f t="shared" si="15"/>
        <v>NO</v>
      </c>
      <c r="S256" s="307" t="str">
        <f t="shared" si="14"/>
        <v>Inviable Sanitariamente</v>
      </c>
      <c r="T256" s="57"/>
    </row>
    <row r="257" spans="1:20" s="56" customFormat="1" ht="32.1" customHeight="1">
      <c r="A257" s="404" t="s">
        <v>137</v>
      </c>
      <c r="B257" s="302" t="s">
        <v>3743</v>
      </c>
      <c r="C257" s="303" t="s">
        <v>3744</v>
      </c>
      <c r="D257" s="346">
        <v>247</v>
      </c>
      <c r="E257" s="407"/>
      <c r="F257" s="407"/>
      <c r="G257" s="407"/>
      <c r="H257" s="407"/>
      <c r="I257" s="407"/>
      <c r="J257" s="407"/>
      <c r="K257" s="407"/>
      <c r="L257" s="407">
        <v>97.35</v>
      </c>
      <c r="M257" s="407"/>
      <c r="N257" s="407"/>
      <c r="O257" s="407"/>
      <c r="P257" s="407"/>
      <c r="Q257" s="306">
        <f t="shared" si="16"/>
        <v>97.35</v>
      </c>
      <c r="R257" s="307" t="str">
        <f t="shared" si="15"/>
        <v>NO</v>
      </c>
      <c r="S257" s="307" t="str">
        <f t="shared" si="14"/>
        <v>Inviable Sanitariamente</v>
      </c>
      <c r="T257" s="57"/>
    </row>
    <row r="258" spans="1:20" s="56" customFormat="1" ht="32.1" customHeight="1">
      <c r="A258" s="404" t="s">
        <v>137</v>
      </c>
      <c r="B258" s="302" t="s">
        <v>3745</v>
      </c>
      <c r="C258" s="303" t="s">
        <v>3746</v>
      </c>
      <c r="D258" s="346">
        <v>113</v>
      </c>
      <c r="E258" s="407"/>
      <c r="F258" s="407"/>
      <c r="G258" s="407"/>
      <c r="H258" s="407"/>
      <c r="I258" s="407"/>
      <c r="J258" s="407"/>
      <c r="K258" s="407"/>
      <c r="L258" s="407"/>
      <c r="M258" s="407">
        <v>90.91</v>
      </c>
      <c r="N258" s="407"/>
      <c r="O258" s="407"/>
      <c r="P258" s="407"/>
      <c r="Q258" s="306">
        <f t="shared" si="16"/>
        <v>90.91</v>
      </c>
      <c r="R258" s="307" t="str">
        <f t="shared" si="15"/>
        <v>NO</v>
      </c>
      <c r="S258" s="307" t="str">
        <f t="shared" si="14"/>
        <v>Inviable Sanitariamente</v>
      </c>
      <c r="T258" s="57"/>
    </row>
    <row r="259" spans="1:20" s="56" customFormat="1" ht="32.1" customHeight="1">
      <c r="A259" s="404" t="s">
        <v>137</v>
      </c>
      <c r="B259" s="302" t="s">
        <v>3747</v>
      </c>
      <c r="C259" s="303" t="s">
        <v>3748</v>
      </c>
      <c r="D259" s="346">
        <v>170</v>
      </c>
      <c r="E259" s="407"/>
      <c r="F259" s="407"/>
      <c r="G259" s="407"/>
      <c r="H259" s="407"/>
      <c r="I259" s="407"/>
      <c r="J259" s="407"/>
      <c r="K259" s="407"/>
      <c r="L259" s="407"/>
      <c r="M259" s="407"/>
      <c r="N259" s="407">
        <v>90.91</v>
      </c>
      <c r="O259" s="407"/>
      <c r="P259" s="407"/>
      <c r="Q259" s="306">
        <f t="shared" si="16"/>
        <v>90.91</v>
      </c>
      <c r="R259" s="307" t="str">
        <f t="shared" si="15"/>
        <v>NO</v>
      </c>
      <c r="S259" s="307" t="str">
        <f t="shared" si="14"/>
        <v>Inviable Sanitariamente</v>
      </c>
      <c r="T259" s="57"/>
    </row>
    <row r="260" spans="1:20" s="56" customFormat="1" ht="32.1" customHeight="1">
      <c r="A260" s="404" t="s">
        <v>137</v>
      </c>
      <c r="B260" s="302" t="s">
        <v>3749</v>
      </c>
      <c r="C260" s="303" t="s">
        <v>3750</v>
      </c>
      <c r="D260" s="346">
        <v>140</v>
      </c>
      <c r="E260" s="407"/>
      <c r="F260" s="407"/>
      <c r="G260" s="407"/>
      <c r="H260" s="407"/>
      <c r="I260" s="407"/>
      <c r="J260" s="407"/>
      <c r="K260" s="407"/>
      <c r="L260" s="407"/>
      <c r="M260" s="407">
        <v>97.6</v>
      </c>
      <c r="N260" s="407"/>
      <c r="O260" s="407"/>
      <c r="P260" s="407"/>
      <c r="Q260" s="306">
        <f t="shared" si="16"/>
        <v>97.6</v>
      </c>
      <c r="R260" s="307" t="str">
        <f t="shared" si="15"/>
        <v>NO</v>
      </c>
      <c r="S260" s="307" t="str">
        <f t="shared" si="14"/>
        <v>Inviable Sanitariamente</v>
      </c>
      <c r="T260" s="57"/>
    </row>
    <row r="261" spans="1:20" s="56" customFormat="1" ht="32.1" customHeight="1">
      <c r="A261" s="404" t="s">
        <v>137</v>
      </c>
      <c r="B261" s="302" t="s">
        <v>3751</v>
      </c>
      <c r="C261" s="303" t="s">
        <v>3752</v>
      </c>
      <c r="D261" s="346">
        <v>60</v>
      </c>
      <c r="E261" s="407"/>
      <c r="F261" s="407"/>
      <c r="G261" s="407"/>
      <c r="H261" s="407"/>
      <c r="I261" s="407"/>
      <c r="J261" s="407"/>
      <c r="K261" s="407"/>
      <c r="L261" s="407"/>
      <c r="M261" s="407">
        <v>97.35</v>
      </c>
      <c r="N261" s="407"/>
      <c r="O261" s="407"/>
      <c r="P261" s="407"/>
      <c r="Q261" s="306">
        <f t="shared" si="16"/>
        <v>97.35</v>
      </c>
      <c r="R261" s="307" t="str">
        <f t="shared" si="15"/>
        <v>NO</v>
      </c>
      <c r="S261" s="307" t="str">
        <f t="shared" si="14"/>
        <v>Inviable Sanitariamente</v>
      </c>
      <c r="T261" s="57"/>
    </row>
    <row r="262" spans="1:20" s="56" customFormat="1" ht="32.1" customHeight="1">
      <c r="A262" s="404" t="s">
        <v>137</v>
      </c>
      <c r="B262" s="302" t="s">
        <v>3753</v>
      </c>
      <c r="C262" s="303" t="s">
        <v>3754</v>
      </c>
      <c r="D262" s="399">
        <v>480</v>
      </c>
      <c r="E262" s="407"/>
      <c r="F262" s="407"/>
      <c r="G262" s="407"/>
      <c r="H262" s="407"/>
      <c r="I262" s="407"/>
      <c r="J262" s="407"/>
      <c r="K262" s="407"/>
      <c r="L262" s="407"/>
      <c r="M262" s="407"/>
      <c r="N262" s="407"/>
      <c r="O262" s="407">
        <v>96.3</v>
      </c>
      <c r="P262" s="407"/>
      <c r="Q262" s="306">
        <f t="shared" si="16"/>
        <v>96.3</v>
      </c>
      <c r="R262" s="307" t="str">
        <f t="shared" si="15"/>
        <v>NO</v>
      </c>
      <c r="S262" s="307" t="str">
        <f t="shared" si="14"/>
        <v>Inviable Sanitariamente</v>
      </c>
      <c r="T262" s="57"/>
    </row>
    <row r="263" spans="1:20" s="56" customFormat="1" ht="32.1" customHeight="1">
      <c r="A263" s="404" t="s">
        <v>137</v>
      </c>
      <c r="B263" s="302" t="s">
        <v>3755</v>
      </c>
      <c r="C263" s="303" t="s">
        <v>3756</v>
      </c>
      <c r="D263" s="346">
        <v>200</v>
      </c>
      <c r="E263" s="407"/>
      <c r="F263" s="407"/>
      <c r="G263" s="407"/>
      <c r="H263" s="407"/>
      <c r="I263" s="407"/>
      <c r="J263" s="407"/>
      <c r="K263" s="407"/>
      <c r="L263" s="407"/>
      <c r="M263" s="407"/>
      <c r="N263" s="407">
        <v>97.6</v>
      </c>
      <c r="O263" s="407"/>
      <c r="P263" s="407"/>
      <c r="Q263" s="306">
        <f>AVERAGE(E263:P263)</f>
        <v>97.6</v>
      </c>
      <c r="R263" s="307" t="str">
        <f t="shared" si="15"/>
        <v>NO</v>
      </c>
      <c r="S263" s="307" t="str">
        <f>IF(Q263&lt;=5,"Sin Riesgo",IF(Q263 &lt;=14,"Bajo",IF(Q263&lt;=35,"Medio",IF(Q263&lt;=80,"Alto","Inviable Sanitariamente"))))</f>
        <v>Inviable Sanitariamente</v>
      </c>
      <c r="T263" s="57"/>
    </row>
    <row r="264" spans="1:20" s="192" customFormat="1" ht="32.1" customHeight="1">
      <c r="A264" s="404" t="s">
        <v>137</v>
      </c>
      <c r="B264" s="302" t="s">
        <v>3757</v>
      </c>
      <c r="C264" s="303" t="s">
        <v>3758</v>
      </c>
      <c r="D264" s="346">
        <v>34</v>
      </c>
      <c r="E264" s="407"/>
      <c r="F264" s="407"/>
      <c r="G264" s="407"/>
      <c r="H264" s="407"/>
      <c r="I264" s="407"/>
      <c r="J264" s="407"/>
      <c r="K264" s="407"/>
      <c r="L264" s="407">
        <v>97.35</v>
      </c>
      <c r="M264" s="407"/>
      <c r="N264" s="407"/>
      <c r="O264" s="407"/>
      <c r="P264" s="407"/>
      <c r="Q264" s="306">
        <f>AVERAGE(E264:P264)</f>
        <v>97.35</v>
      </c>
      <c r="R264" s="307" t="str">
        <f t="shared" si="15"/>
        <v>NO</v>
      </c>
      <c r="S264" s="307" t="str">
        <f>IF(Q264&lt;=5,"Sin Riesgo",IF(Q264 &lt;=14,"Bajo",IF(Q264&lt;=35,"Medio",IF(Q264&lt;=80,"Alto","Inviable Sanitariamente"))))</f>
        <v>Inviable Sanitariamente</v>
      </c>
      <c r="T264" s="191"/>
    </row>
    <row r="265" spans="1:20" s="1" customFormat="1" ht="32.1" customHeight="1">
      <c r="A265" s="108"/>
      <c r="B265" s="193"/>
      <c r="C265" s="239"/>
      <c r="D265" s="237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135"/>
      <c r="R265" s="136"/>
      <c r="S265" s="137"/>
      <c r="T265" s="2"/>
    </row>
    <row r="266" spans="1:20" s="1" customFormat="1" ht="32.1" customHeight="1">
      <c r="A266" s="108"/>
      <c r="B266" s="193"/>
      <c r="C266" s="193"/>
      <c r="D266" s="194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6"/>
      <c r="R266" s="196"/>
      <c r="S266" s="197"/>
      <c r="T266" s="2"/>
    </row>
    <row r="267" spans="1:20" s="1" customFormat="1" ht="46.5" customHeight="1">
      <c r="A267" s="266" t="s">
        <v>3920</v>
      </c>
      <c r="B267" s="266" t="s">
        <v>3967</v>
      </c>
      <c r="C267" s="688"/>
      <c r="D267" s="689"/>
      <c r="E267" s="689"/>
      <c r="F267" s="689"/>
      <c r="G267" s="689"/>
      <c r="H267" s="689"/>
      <c r="I267" s="689"/>
      <c r="J267" s="689"/>
      <c r="K267" s="689"/>
      <c r="L267" s="689"/>
      <c r="M267" s="689"/>
      <c r="N267" s="689"/>
      <c r="O267" s="689"/>
      <c r="P267" s="689"/>
      <c r="Q267" s="689"/>
      <c r="R267" s="689"/>
      <c r="S267" s="689"/>
      <c r="T267" s="2"/>
    </row>
    <row r="268" spans="1:20" s="1" customFormat="1" ht="32.1" customHeight="1">
      <c r="A268" s="256" t="s">
        <v>3881</v>
      </c>
      <c r="B268" s="264">
        <f>COUNTIF(E11:P264,"&lt;=5")</f>
        <v>87</v>
      </c>
      <c r="C268" s="717"/>
      <c r="D268" s="718"/>
      <c r="E268" s="718"/>
      <c r="F268" s="718"/>
      <c r="G268" s="718"/>
      <c r="H268" s="718"/>
      <c r="I268" s="718"/>
      <c r="J268" s="718"/>
      <c r="K268" s="718"/>
      <c r="L268" s="718"/>
      <c r="M268" s="718"/>
      <c r="N268" s="718"/>
      <c r="O268" s="718"/>
      <c r="P268" s="718"/>
      <c r="Q268" s="718"/>
      <c r="R268" s="718"/>
      <c r="S268" s="718"/>
      <c r="T268" s="2"/>
    </row>
    <row r="269" spans="1:20" s="1" customFormat="1" ht="48.75" customHeight="1">
      <c r="A269" s="257" t="s">
        <v>3882</v>
      </c>
      <c r="B269" s="269">
        <f>COUNTIFS(E11:P264,"&gt;5",E11:P264,"&lt;=14")</f>
        <v>2</v>
      </c>
      <c r="C269" s="690"/>
      <c r="D269" s="691"/>
      <c r="E269" s="691"/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2"/>
    </row>
    <row r="270" spans="1:20" s="1" customFormat="1" ht="32.1" customHeight="1">
      <c r="A270" s="258" t="s">
        <v>3883</v>
      </c>
      <c r="B270" s="264">
        <f>COUNTIFS(E11:P264,"&gt;14",E11:P264,"&lt;=35")</f>
        <v>52</v>
      </c>
      <c r="C270" s="493"/>
      <c r="D270" s="510"/>
      <c r="E270" s="511"/>
      <c r="F270" s="511"/>
      <c r="G270" s="511"/>
      <c r="H270" s="511"/>
      <c r="I270" s="511"/>
      <c r="J270" s="511"/>
      <c r="K270" s="511"/>
      <c r="L270" s="511"/>
      <c r="M270" s="511"/>
      <c r="N270" s="511"/>
      <c r="O270" s="511"/>
      <c r="P270" s="511"/>
      <c r="Q270" s="197"/>
      <c r="R270" s="197"/>
      <c r="S270" s="197"/>
      <c r="T270" s="2"/>
    </row>
    <row r="271" spans="1:20" s="1" customFormat="1" ht="32.1" customHeight="1">
      <c r="A271" s="259" t="s">
        <v>3884</v>
      </c>
      <c r="B271" s="264">
        <f>COUNTIFS(E11:P264,"&gt;35",E11:P264,"&lt;=80")</f>
        <v>119</v>
      </c>
      <c r="C271" s="512"/>
      <c r="D271" s="510"/>
      <c r="E271" s="511"/>
      <c r="F271" s="511"/>
      <c r="G271" s="511"/>
      <c r="H271" s="511"/>
      <c r="I271" s="511"/>
      <c r="J271" s="511"/>
      <c r="K271" s="511"/>
      <c r="L271" s="511"/>
      <c r="M271" s="511"/>
      <c r="N271" s="511"/>
      <c r="O271" s="511"/>
      <c r="P271" s="511"/>
      <c r="Q271" s="197"/>
      <c r="R271" s="197"/>
      <c r="S271" s="197"/>
      <c r="T271" s="2"/>
    </row>
    <row r="272" spans="1:20" s="1" customFormat="1" ht="39" customHeight="1">
      <c r="A272" s="260" t="s">
        <v>3885</v>
      </c>
      <c r="B272" s="264">
        <f>COUNTIFS(E11:P264,"&gt;80",E11:P264,"&lt;=100")</f>
        <v>153</v>
      </c>
      <c r="C272" s="498"/>
      <c r="D272" s="510"/>
      <c r="E272" s="511"/>
      <c r="F272" s="511"/>
      <c r="G272" s="511"/>
      <c r="H272" s="511"/>
      <c r="I272" s="511"/>
      <c r="J272" s="511"/>
      <c r="K272" s="511"/>
      <c r="L272" s="511"/>
      <c r="M272" s="511"/>
      <c r="N272" s="511"/>
      <c r="O272" s="511"/>
      <c r="P272" s="511"/>
      <c r="Q272" s="197"/>
      <c r="R272" s="197"/>
      <c r="S272" s="197"/>
      <c r="T272" s="2"/>
    </row>
    <row r="273" spans="1:20" s="1" customFormat="1" ht="32.1" customHeight="1">
      <c r="A273" s="279" t="s">
        <v>3886</v>
      </c>
      <c r="B273" s="280">
        <f>COUNT(E11:P264)</f>
        <v>413</v>
      </c>
      <c r="C273" s="498"/>
      <c r="D273" s="194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6"/>
      <c r="R273" s="196"/>
      <c r="S273" s="197"/>
      <c r="T273" s="2"/>
    </row>
    <row r="274" spans="1:20" s="1" customFormat="1" ht="36.75" customHeight="1">
      <c r="A274" s="263" t="s">
        <v>3888</v>
      </c>
      <c r="B274" s="265">
        <f>B273-B268</f>
        <v>326</v>
      </c>
      <c r="C274" s="193"/>
      <c r="D274" s="194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6"/>
      <c r="R274" s="196"/>
      <c r="S274" s="197"/>
      <c r="T274" s="2"/>
    </row>
    <row r="275" spans="1:20" s="1" customFormat="1" ht="32.1" customHeight="1">
      <c r="A275" s="108"/>
      <c r="B275" s="193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6"/>
      <c r="R275" s="196"/>
      <c r="S275" s="197"/>
      <c r="T275" s="2"/>
    </row>
    <row r="276" spans="1:20" s="1" customFormat="1" ht="32.1" customHeight="1">
      <c r="A276" s="108"/>
      <c r="B276" s="193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6"/>
      <c r="R276" s="196"/>
      <c r="S276" s="197"/>
      <c r="T276" s="2"/>
    </row>
    <row r="277" spans="1:20" s="1" customFormat="1" ht="32.1" customHeight="1">
      <c r="A277" s="108"/>
      <c r="B277" s="193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6"/>
      <c r="R277" s="196"/>
      <c r="S277" s="197"/>
      <c r="T277" s="2"/>
    </row>
    <row r="278" spans="1:20" s="1" customFormat="1" ht="32.1" customHeight="1">
      <c r="A278" s="108"/>
      <c r="B278" s="193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6"/>
      <c r="R278" s="196"/>
      <c r="S278" s="197"/>
      <c r="T278" s="2"/>
    </row>
    <row r="279" spans="1:20" s="1" customFormat="1" ht="32.1" customHeight="1">
      <c r="A279" s="108"/>
      <c r="B279" s="193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6"/>
      <c r="R279" s="196"/>
      <c r="S279" s="197"/>
      <c r="T279" s="2"/>
    </row>
    <row r="280" spans="1:20" s="1" customFormat="1" ht="32.1" customHeight="1">
      <c r="A280" s="108"/>
      <c r="B280" s="193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6"/>
      <c r="R280" s="196"/>
      <c r="S280" s="197"/>
      <c r="T280" s="2"/>
    </row>
    <row r="281" spans="1:20" s="1" customFormat="1" ht="32.1" customHeight="1">
      <c r="A281" s="108"/>
      <c r="B281" s="193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6"/>
      <c r="R281" s="196"/>
      <c r="S281" s="197"/>
      <c r="T281" s="2"/>
    </row>
    <row r="282" spans="1:20" s="1" customFormat="1" ht="32.1" customHeight="1">
      <c r="A282" s="108"/>
      <c r="B282" s="193"/>
      <c r="C282" s="193"/>
      <c r="D282" s="194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6"/>
      <c r="R282" s="196"/>
      <c r="S282" s="197"/>
      <c r="T282" s="2"/>
    </row>
    <row r="283" spans="1:20" s="1" customFormat="1" ht="32.1" customHeight="1">
      <c r="A283" s="108"/>
      <c r="B283" s="193"/>
      <c r="C283" s="193"/>
      <c r="D283" s="194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6"/>
      <c r="R283" s="196"/>
      <c r="S283" s="197"/>
      <c r="T283" s="2"/>
    </row>
    <row r="284" spans="1:20" s="1" customFormat="1" ht="32.1" customHeight="1">
      <c r="A284" s="108"/>
      <c r="B284" s="193"/>
      <c r="C284" s="193"/>
      <c r="D284" s="194"/>
      <c r="E284" s="195"/>
      <c r="F284" s="195"/>
      <c r="G284" s="198"/>
      <c r="H284" s="195"/>
      <c r="I284" s="195"/>
      <c r="J284" s="195"/>
      <c r="K284" s="195"/>
      <c r="L284" s="195"/>
      <c r="M284" s="195"/>
      <c r="N284" s="195"/>
      <c r="O284" s="195"/>
      <c r="P284" s="195"/>
      <c r="Q284" s="196"/>
      <c r="R284" s="196"/>
      <c r="S284" s="197"/>
      <c r="T284" s="2"/>
    </row>
    <row r="285" spans="1:20" s="1" customFormat="1" ht="32.1" customHeight="1">
      <c r="A285" s="108"/>
      <c r="B285" s="193"/>
      <c r="C285" s="193"/>
      <c r="D285" s="194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6"/>
      <c r="R285" s="196"/>
      <c r="S285" s="197"/>
      <c r="T285" s="2"/>
    </row>
    <row r="286" spans="1:20" s="1" customFormat="1" ht="32.1" customHeight="1">
      <c r="A286" s="108"/>
      <c r="B286" s="193"/>
      <c r="C286" s="193"/>
      <c r="D286" s="194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6"/>
      <c r="R286" s="196"/>
      <c r="S286" s="197"/>
      <c r="T286" s="2"/>
    </row>
    <row r="287" spans="1:20" s="1" customFormat="1" ht="32.1" customHeight="1">
      <c r="A287" s="108"/>
      <c r="B287" s="193"/>
      <c r="C287" s="193"/>
      <c r="D287" s="194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6"/>
      <c r="R287" s="196"/>
      <c r="S287" s="197"/>
      <c r="T287" s="2"/>
    </row>
    <row r="288" spans="1:20" s="1" customFormat="1" ht="32.1" customHeight="1">
      <c r="A288" s="108"/>
      <c r="B288" s="193"/>
      <c r="C288" s="193"/>
      <c r="D288" s="194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6"/>
      <c r="R288" s="196"/>
      <c r="S288" s="197"/>
      <c r="T288" s="2"/>
    </row>
    <row r="289" spans="1:20" s="1" customFormat="1" ht="32.1" customHeight="1">
      <c r="A289" s="108"/>
      <c r="B289" s="193"/>
      <c r="C289" s="193"/>
      <c r="D289" s="194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6"/>
      <c r="R289" s="196"/>
      <c r="S289" s="197"/>
      <c r="T289" s="2"/>
    </row>
    <row r="290" spans="1:20" s="1" customFormat="1" ht="32.1" customHeight="1">
      <c r="A290" s="108"/>
      <c r="B290" s="193"/>
      <c r="C290" s="193"/>
      <c r="D290" s="194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6"/>
      <c r="R290" s="196"/>
      <c r="S290" s="197"/>
      <c r="T290" s="2"/>
    </row>
    <row r="291" spans="1:20" s="1" customFormat="1" ht="32.1" customHeight="1">
      <c r="A291" s="108"/>
      <c r="B291" s="193"/>
      <c r="C291" s="193"/>
      <c r="D291" s="194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6"/>
      <c r="R291" s="196"/>
      <c r="S291" s="197"/>
      <c r="T291" s="2"/>
    </row>
    <row r="292" spans="1:20" s="1" customFormat="1" ht="32.1" customHeight="1">
      <c r="A292" s="108"/>
      <c r="B292" s="193"/>
      <c r="C292" s="193"/>
      <c r="D292" s="194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6"/>
      <c r="R292" s="196"/>
      <c r="S292" s="197"/>
      <c r="T292" s="2"/>
    </row>
    <row r="293" spans="1:20" s="1" customFormat="1" ht="32.1" customHeight="1">
      <c r="A293" s="108"/>
      <c r="B293" s="193"/>
      <c r="C293" s="193"/>
      <c r="D293" s="194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6"/>
      <c r="R293" s="196"/>
      <c r="S293" s="197"/>
      <c r="T293" s="2"/>
    </row>
    <row r="294" spans="1:20" s="1" customFormat="1" ht="32.1" customHeight="1">
      <c r="A294" s="108"/>
      <c r="B294" s="193"/>
      <c r="C294" s="193"/>
      <c r="D294" s="194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6"/>
      <c r="R294" s="196"/>
      <c r="S294" s="197"/>
      <c r="T294" s="2"/>
    </row>
    <row r="295" spans="1:20" s="1" customFormat="1" ht="32.1" customHeight="1">
      <c r="A295" s="108"/>
      <c r="B295" s="193"/>
      <c r="C295" s="193"/>
      <c r="D295" s="194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6"/>
      <c r="R295" s="196"/>
      <c r="S295" s="197"/>
      <c r="T295" s="2"/>
    </row>
    <row r="296" spans="1:20" s="1" customFormat="1" ht="32.1" customHeight="1">
      <c r="A296" s="108"/>
      <c r="B296" s="193"/>
      <c r="C296" s="193"/>
      <c r="D296" s="194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6"/>
      <c r="R296" s="196"/>
      <c r="S296" s="197"/>
      <c r="T296" s="2"/>
    </row>
    <row r="297" spans="1:20" s="1" customFormat="1" ht="32.1" customHeight="1">
      <c r="A297" s="108"/>
      <c r="B297" s="193"/>
      <c r="C297" s="193"/>
      <c r="D297" s="194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6"/>
      <c r="R297" s="196"/>
      <c r="S297" s="197"/>
      <c r="T297" s="2"/>
    </row>
    <row r="298" spans="1:20" s="1" customFormat="1" ht="32.1" customHeight="1">
      <c r="A298" s="108"/>
      <c r="B298" s="193"/>
      <c r="C298" s="193"/>
      <c r="D298" s="194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6"/>
      <c r="R298" s="196"/>
      <c r="S298" s="197"/>
      <c r="T298" s="2"/>
    </row>
    <row r="299" spans="1:20" s="1" customFormat="1" ht="32.1" customHeight="1">
      <c r="A299" s="108"/>
      <c r="B299" s="193"/>
      <c r="C299" s="193"/>
      <c r="D299" s="194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6"/>
      <c r="R299" s="196"/>
      <c r="S299" s="197"/>
      <c r="T299" s="2"/>
    </row>
    <row r="300" spans="1:20" s="1" customFormat="1" ht="32.1" customHeight="1">
      <c r="A300" s="108"/>
      <c r="B300" s="193"/>
      <c r="C300" s="193"/>
      <c r="D300" s="194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6"/>
      <c r="R300" s="196"/>
      <c r="S300" s="197"/>
      <c r="T300" s="2"/>
    </row>
    <row r="301" spans="1:20" s="1" customFormat="1" ht="32.1" customHeight="1">
      <c r="A301" s="108"/>
      <c r="B301" s="193"/>
      <c r="C301" s="193"/>
      <c r="D301" s="194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6"/>
      <c r="R301" s="196"/>
      <c r="S301" s="197"/>
      <c r="T301" s="2"/>
    </row>
    <row r="302" spans="1:20" s="1" customFormat="1" ht="32.1" customHeight="1">
      <c r="A302" s="108"/>
      <c r="B302" s="193"/>
      <c r="C302" s="193"/>
      <c r="D302" s="194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6"/>
      <c r="R302" s="196"/>
      <c r="S302" s="197"/>
      <c r="T302" s="2"/>
    </row>
    <row r="303" spans="1:20" s="1" customFormat="1" ht="32.1" customHeight="1">
      <c r="A303" s="108"/>
      <c r="B303" s="193"/>
      <c r="C303" s="193"/>
      <c r="D303" s="194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6"/>
      <c r="R303" s="196"/>
      <c r="S303" s="197"/>
      <c r="T303" s="2"/>
    </row>
    <row r="304" spans="1:20" s="1" customFormat="1" ht="32.1" customHeight="1">
      <c r="A304" s="108"/>
      <c r="B304" s="193"/>
      <c r="C304" s="193"/>
      <c r="D304" s="194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6"/>
      <c r="R304" s="196"/>
      <c r="S304" s="197"/>
      <c r="T304" s="2"/>
    </row>
    <row r="305" spans="1:20" s="1" customFormat="1" ht="32.1" customHeight="1">
      <c r="A305" s="108"/>
      <c r="B305" s="193"/>
      <c r="C305" s="193"/>
      <c r="D305" s="194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6"/>
      <c r="R305" s="196"/>
      <c r="S305" s="197"/>
      <c r="T305" s="2"/>
    </row>
    <row r="306" spans="1:20" s="1" customFormat="1" ht="32.1" customHeight="1">
      <c r="A306" s="108"/>
      <c r="B306" s="193"/>
      <c r="C306" s="193"/>
      <c r="D306" s="194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6"/>
      <c r="R306" s="196"/>
      <c r="S306" s="197"/>
      <c r="T306" s="2"/>
    </row>
    <row r="307" spans="1:20" s="1" customFormat="1" ht="32.1" customHeight="1">
      <c r="A307" s="108"/>
      <c r="B307" s="193"/>
      <c r="C307" s="193"/>
      <c r="D307" s="194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6"/>
      <c r="R307" s="196"/>
      <c r="S307" s="197"/>
      <c r="T307" s="2"/>
    </row>
    <row r="308" spans="1:20" s="1" customFormat="1" ht="32.1" customHeight="1">
      <c r="A308" s="108"/>
      <c r="B308" s="193"/>
      <c r="C308" s="193"/>
      <c r="D308" s="194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6"/>
      <c r="R308" s="196"/>
      <c r="S308" s="197"/>
      <c r="T308" s="2"/>
    </row>
    <row r="309" spans="1:20" s="1" customFormat="1" ht="32.1" customHeight="1">
      <c r="A309" s="108"/>
      <c r="B309" s="193"/>
      <c r="C309" s="193"/>
      <c r="D309" s="194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8"/>
      <c r="P309" s="195"/>
      <c r="Q309" s="196"/>
      <c r="R309" s="196"/>
      <c r="S309" s="197"/>
      <c r="T309" s="2"/>
    </row>
    <row r="310" spans="1:20" s="1" customFormat="1" ht="32.1" customHeight="1">
      <c r="A310" s="108"/>
      <c r="B310" s="193"/>
      <c r="C310" s="193"/>
      <c r="D310" s="194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6"/>
      <c r="R310" s="196"/>
      <c r="S310" s="197"/>
      <c r="T310" s="2"/>
    </row>
    <row r="311" spans="1:20" s="1" customFormat="1" ht="32.1" customHeight="1">
      <c r="A311" s="108"/>
      <c r="B311" s="193"/>
      <c r="C311" s="193"/>
      <c r="D311" s="194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6"/>
      <c r="R311" s="196"/>
      <c r="S311" s="197"/>
      <c r="T311" s="2"/>
    </row>
    <row r="312" spans="1:20" s="1" customFormat="1" ht="32.1" customHeight="1">
      <c r="A312" s="108"/>
      <c r="B312" s="193"/>
      <c r="C312" s="193"/>
      <c r="D312" s="194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6"/>
      <c r="R312" s="196"/>
      <c r="S312" s="197"/>
      <c r="T312" s="2"/>
    </row>
    <row r="313" spans="1:20" s="1" customFormat="1" ht="32.1" customHeight="1">
      <c r="A313" s="108"/>
      <c r="B313" s="193"/>
      <c r="C313" s="193"/>
      <c r="D313" s="194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6"/>
      <c r="R313" s="196"/>
      <c r="S313" s="197"/>
      <c r="T313" s="2"/>
    </row>
    <row r="314" spans="1:20" s="1" customFormat="1" ht="32.1" customHeight="1">
      <c r="A314" s="108"/>
      <c r="B314" s="193"/>
      <c r="C314" s="193"/>
      <c r="D314" s="194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6"/>
      <c r="R314" s="196"/>
      <c r="S314" s="197"/>
      <c r="T314" s="2"/>
    </row>
    <row r="315" spans="1:20" s="1" customFormat="1" ht="32.1" customHeight="1">
      <c r="A315" s="108"/>
      <c r="B315" s="193"/>
      <c r="C315" s="193"/>
      <c r="D315" s="194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6"/>
      <c r="R315" s="196"/>
      <c r="S315" s="197"/>
      <c r="T315" s="2"/>
    </row>
    <row r="316" spans="1:20" s="1" customFormat="1" ht="32.1" customHeight="1">
      <c r="A316" s="108"/>
      <c r="B316" s="193"/>
      <c r="C316" s="193"/>
      <c r="D316" s="194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8"/>
      <c r="P316" s="195"/>
      <c r="Q316" s="196"/>
      <c r="R316" s="196"/>
      <c r="S316" s="197"/>
      <c r="T316" s="2"/>
    </row>
    <row r="317" spans="1:20" s="1" customFormat="1" ht="32.1" customHeight="1">
      <c r="A317" s="108"/>
      <c r="B317" s="193"/>
      <c r="C317" s="193"/>
      <c r="D317" s="194"/>
      <c r="E317" s="195"/>
      <c r="F317" s="195"/>
      <c r="G317" s="198"/>
      <c r="H317" s="195"/>
      <c r="I317" s="195"/>
      <c r="J317" s="195"/>
      <c r="K317" s="195"/>
      <c r="L317" s="195"/>
      <c r="M317" s="195"/>
      <c r="N317" s="195"/>
      <c r="O317" s="195"/>
      <c r="P317" s="195"/>
      <c r="Q317" s="196"/>
      <c r="R317" s="196"/>
      <c r="S317" s="197"/>
      <c r="T317" s="2"/>
    </row>
    <row r="318" spans="1:20" s="1" customFormat="1" ht="32.1" customHeight="1">
      <c r="A318" s="108"/>
      <c r="B318" s="193"/>
      <c r="C318" s="193"/>
      <c r="D318" s="194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8"/>
      <c r="P318" s="195"/>
      <c r="Q318" s="196"/>
      <c r="R318" s="196"/>
      <c r="S318" s="197"/>
      <c r="T318" s="2"/>
    </row>
    <row r="319" spans="1:20" s="1" customFormat="1" ht="32.1" customHeight="1">
      <c r="A319" s="108"/>
      <c r="B319" s="193"/>
      <c r="C319" s="193"/>
      <c r="D319" s="194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6"/>
      <c r="R319" s="196"/>
      <c r="S319" s="197"/>
      <c r="T319" s="2"/>
    </row>
    <row r="320" spans="1:20" s="1" customFormat="1" ht="32.1" customHeight="1">
      <c r="A320" s="108"/>
      <c r="B320" s="193"/>
      <c r="C320" s="193"/>
      <c r="D320" s="194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6"/>
      <c r="R320" s="196"/>
      <c r="S320" s="197"/>
      <c r="T320" s="2"/>
    </row>
    <row r="321" spans="1:20" s="1" customFormat="1" ht="32.1" customHeight="1">
      <c r="A321" s="108"/>
      <c r="B321" s="193"/>
      <c r="C321" s="193"/>
      <c r="D321" s="194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6"/>
      <c r="R321" s="196"/>
      <c r="S321" s="197"/>
      <c r="T321" s="2"/>
    </row>
    <row r="322" spans="1:20" s="1" customFormat="1" ht="32.1" customHeight="1">
      <c r="A322" s="108"/>
      <c r="B322" s="193"/>
      <c r="C322" s="193"/>
      <c r="D322" s="194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6"/>
      <c r="R322" s="196"/>
      <c r="S322" s="197"/>
      <c r="T322" s="2"/>
    </row>
    <row r="323" spans="1:20" s="1" customFormat="1" ht="32.1" customHeight="1">
      <c r="A323" s="108"/>
      <c r="B323" s="193"/>
      <c r="C323" s="193"/>
      <c r="D323" s="194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8"/>
      <c r="P323" s="195"/>
      <c r="Q323" s="196"/>
      <c r="R323" s="196"/>
      <c r="S323" s="197"/>
      <c r="T323" s="2"/>
    </row>
    <row r="324" spans="1:20" s="1" customFormat="1" ht="32.1" customHeight="1">
      <c r="A324" s="108"/>
      <c r="B324" s="193"/>
      <c r="C324" s="193"/>
      <c r="D324" s="194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6"/>
      <c r="R324" s="196"/>
      <c r="S324" s="197"/>
      <c r="T324" s="2"/>
    </row>
    <row r="325" spans="1:20" s="1" customFormat="1" ht="32.1" customHeight="1">
      <c r="A325" s="108"/>
      <c r="B325" s="193"/>
      <c r="C325" s="193"/>
      <c r="D325" s="194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6"/>
      <c r="R325" s="196"/>
      <c r="S325" s="197"/>
      <c r="T325" s="2"/>
    </row>
    <row r="326" spans="1:20" s="1" customFormat="1" ht="32.1" customHeight="1">
      <c r="A326" s="108"/>
      <c r="B326" s="193"/>
      <c r="C326" s="193"/>
      <c r="D326" s="194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6"/>
      <c r="R326" s="196"/>
      <c r="S326" s="197"/>
      <c r="T326" s="2"/>
    </row>
    <row r="327" spans="1:20" ht="32.1" hidden="1" customHeight="1">
      <c r="A327" s="95" t="s">
        <v>3194</v>
      </c>
      <c r="B327" s="155" t="s">
        <v>3214</v>
      </c>
      <c r="C327" s="155" t="s">
        <v>3215</v>
      </c>
      <c r="D327" s="96">
        <v>102</v>
      </c>
      <c r="E327" s="104"/>
      <c r="F327" s="104"/>
      <c r="G327" s="104"/>
      <c r="H327" s="104"/>
      <c r="I327" s="167">
        <v>21</v>
      </c>
      <c r="J327" s="104"/>
      <c r="K327" s="104"/>
      <c r="L327" s="104"/>
      <c r="M327" s="104"/>
      <c r="N327" s="104"/>
      <c r="O327" s="104"/>
      <c r="P327" s="158">
        <v>0</v>
      </c>
      <c r="Q327" s="170">
        <f t="shared" ref="Q327:Q343" si="17">AVERAGE(E327:P327)</f>
        <v>10.5</v>
      </c>
      <c r="R327" s="162" t="str">
        <f t="shared" ref="R327:R360" si="18">IF(Q327&lt;5,"SI","NO")</f>
        <v>NO</v>
      </c>
      <c r="S327" s="171" t="str">
        <f t="shared" ref="S327:S343" si="19">IF(Q327&lt;5,"Sin Riesgo",IF(Q327 &lt;=14,"Bajo",IF(Q327&lt;=35,"Medio",IF(Q327&lt;=80,"Alto","Inviable Sanitariamente"))))</f>
        <v>Bajo</v>
      </c>
    </row>
    <row r="328" spans="1:20" ht="32.1" hidden="1" customHeight="1">
      <c r="A328" s="95" t="s">
        <v>3194</v>
      </c>
      <c r="B328" s="155" t="s">
        <v>3216</v>
      </c>
      <c r="C328" s="155" t="s">
        <v>3217</v>
      </c>
      <c r="D328" s="99">
        <v>65</v>
      </c>
      <c r="E328" s="104"/>
      <c r="F328" s="104"/>
      <c r="G328" s="104"/>
      <c r="H328" s="104"/>
      <c r="I328" s="104"/>
      <c r="J328" s="104"/>
      <c r="K328" s="104"/>
      <c r="L328" s="157">
        <v>97.4</v>
      </c>
      <c r="M328" s="104"/>
      <c r="N328" s="104"/>
      <c r="O328" s="158"/>
      <c r="P328" s="104"/>
      <c r="Q328" s="161">
        <f t="shared" si="17"/>
        <v>97.4</v>
      </c>
      <c r="R328" s="162" t="str">
        <f t="shared" si="18"/>
        <v>NO</v>
      </c>
      <c r="S328" s="163" t="str">
        <f t="shared" si="19"/>
        <v>Inviable Sanitariamente</v>
      </c>
    </row>
    <row r="329" spans="1:20" ht="32.1" hidden="1" customHeight="1">
      <c r="A329" s="95" t="s">
        <v>3194</v>
      </c>
      <c r="B329" s="155" t="s">
        <v>409</v>
      </c>
      <c r="C329" s="155" t="s">
        <v>3218</v>
      </c>
      <c r="D329" s="99">
        <v>15</v>
      </c>
      <c r="E329" s="104"/>
      <c r="F329" s="104"/>
      <c r="G329" s="104"/>
      <c r="H329" s="104"/>
      <c r="I329" s="104"/>
      <c r="J329" s="104"/>
      <c r="K329" s="104"/>
      <c r="L329" s="157">
        <v>97.4</v>
      </c>
      <c r="M329" s="167"/>
      <c r="N329" s="104"/>
      <c r="O329" s="104"/>
      <c r="P329" s="104"/>
      <c r="Q329" s="161">
        <f t="shared" si="17"/>
        <v>97.4</v>
      </c>
      <c r="R329" s="162" t="str">
        <f t="shared" si="18"/>
        <v>NO</v>
      </c>
      <c r="S329" s="163" t="str">
        <f t="shared" si="19"/>
        <v>Inviable Sanitariamente</v>
      </c>
    </row>
    <row r="330" spans="1:20" ht="32.1" hidden="1" customHeight="1">
      <c r="A330" s="95" t="s">
        <v>3194</v>
      </c>
      <c r="B330" s="155" t="s">
        <v>2800</v>
      </c>
      <c r="C330" s="155" t="s">
        <v>2801</v>
      </c>
      <c r="D330" s="96">
        <v>32</v>
      </c>
      <c r="E330" s="104"/>
      <c r="F330" s="104"/>
      <c r="G330" s="104"/>
      <c r="H330" s="104"/>
      <c r="I330" s="104"/>
      <c r="J330" s="104"/>
      <c r="K330" s="104"/>
      <c r="L330" s="164">
        <v>53.1</v>
      </c>
      <c r="M330" s="104"/>
      <c r="N330" s="104"/>
      <c r="O330" s="104"/>
      <c r="P330" s="104"/>
      <c r="Q330" s="165">
        <f t="shared" si="17"/>
        <v>53.1</v>
      </c>
      <c r="R330" s="162" t="str">
        <f t="shared" si="18"/>
        <v>NO</v>
      </c>
      <c r="S330" s="166" t="str">
        <f t="shared" si="19"/>
        <v>Alto</v>
      </c>
    </row>
    <row r="331" spans="1:20" ht="32.1" hidden="1" customHeight="1">
      <c r="A331" s="95" t="s">
        <v>3194</v>
      </c>
      <c r="B331" s="155" t="s">
        <v>3219</v>
      </c>
      <c r="C331" s="155" t="s">
        <v>3220</v>
      </c>
      <c r="D331" s="99">
        <v>86</v>
      </c>
      <c r="E331" s="104"/>
      <c r="F331" s="158">
        <v>0</v>
      </c>
      <c r="G331" s="164">
        <v>70.8</v>
      </c>
      <c r="H331" s="158">
        <v>0</v>
      </c>
      <c r="I331" s="158">
        <v>0</v>
      </c>
      <c r="J331" s="104"/>
      <c r="K331" s="158">
        <v>0</v>
      </c>
      <c r="L331" s="104"/>
      <c r="M331" s="104"/>
      <c r="N331" s="104"/>
      <c r="O331" s="164">
        <v>55.94</v>
      </c>
      <c r="P331" s="158">
        <v>0</v>
      </c>
      <c r="Q331" s="168">
        <f t="shared" si="17"/>
        <v>18.105714285714285</v>
      </c>
      <c r="R331" s="162" t="str">
        <f t="shared" si="18"/>
        <v>NO</v>
      </c>
      <c r="S331" s="169" t="str">
        <f t="shared" si="19"/>
        <v>Medio</v>
      </c>
    </row>
    <row r="332" spans="1:20" ht="32.1" hidden="1" customHeight="1">
      <c r="A332" s="95" t="s">
        <v>3194</v>
      </c>
      <c r="B332" s="155" t="s">
        <v>3221</v>
      </c>
      <c r="C332" s="155" t="s">
        <v>3222</v>
      </c>
      <c r="D332" s="99">
        <v>93</v>
      </c>
      <c r="E332" s="157">
        <v>97.4</v>
      </c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61">
        <f t="shared" si="17"/>
        <v>97.4</v>
      </c>
      <c r="R332" s="162" t="str">
        <f t="shared" si="18"/>
        <v>NO</v>
      </c>
      <c r="S332" s="163" t="str">
        <f t="shared" si="19"/>
        <v>Inviable Sanitariamente</v>
      </c>
    </row>
    <row r="333" spans="1:20" ht="32.1" hidden="1" customHeight="1">
      <c r="A333" s="95" t="s">
        <v>3194</v>
      </c>
      <c r="B333" s="155" t="s">
        <v>3223</v>
      </c>
      <c r="C333" s="155" t="s">
        <v>3224</v>
      </c>
      <c r="D333" s="99">
        <v>55</v>
      </c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29" t="e">
        <f t="shared" si="17"/>
        <v>#DIV/0!</v>
      </c>
      <c r="R333" s="130" t="e">
        <f t="shared" si="18"/>
        <v>#DIV/0!</v>
      </c>
      <c r="S333" s="131" t="e">
        <f t="shared" si="19"/>
        <v>#DIV/0!</v>
      </c>
    </row>
    <row r="334" spans="1:20" ht="32.1" hidden="1" customHeight="1">
      <c r="A334" s="95" t="s">
        <v>3194</v>
      </c>
      <c r="B334" s="155" t="s">
        <v>3225</v>
      </c>
      <c r="C334" s="155" t="s">
        <v>3226</v>
      </c>
      <c r="D334" s="99">
        <v>30</v>
      </c>
      <c r="E334" s="104"/>
      <c r="F334" s="104"/>
      <c r="G334" s="156"/>
      <c r="H334" s="104"/>
      <c r="I334" s="104"/>
      <c r="J334" s="104"/>
      <c r="K334" s="104"/>
      <c r="L334" s="157">
        <v>97.4</v>
      </c>
      <c r="M334" s="104"/>
      <c r="N334" s="104"/>
      <c r="O334" s="164"/>
      <c r="P334" s="104"/>
      <c r="Q334" s="161">
        <f t="shared" si="17"/>
        <v>97.4</v>
      </c>
      <c r="R334" s="162" t="str">
        <f t="shared" si="18"/>
        <v>NO</v>
      </c>
      <c r="S334" s="163" t="str">
        <f t="shared" si="19"/>
        <v>Inviable Sanitariamente</v>
      </c>
    </row>
    <row r="335" spans="1:20" ht="32.1" hidden="1" customHeight="1">
      <c r="A335" s="95" t="s">
        <v>3194</v>
      </c>
      <c r="B335" s="155" t="s">
        <v>3227</v>
      </c>
      <c r="C335" s="155" t="s">
        <v>3228</v>
      </c>
      <c r="D335" s="99">
        <v>15</v>
      </c>
      <c r="E335" s="104"/>
      <c r="F335" s="104"/>
      <c r="G335" s="104"/>
      <c r="H335" s="104"/>
      <c r="I335" s="104"/>
      <c r="J335" s="104"/>
      <c r="K335" s="104"/>
      <c r="L335" s="104"/>
      <c r="M335" s="104"/>
      <c r="N335" s="164">
        <v>53.1</v>
      </c>
      <c r="O335" s="104"/>
      <c r="P335" s="104"/>
      <c r="Q335" s="165">
        <f t="shared" si="17"/>
        <v>53.1</v>
      </c>
      <c r="R335" s="162" t="str">
        <f t="shared" si="18"/>
        <v>NO</v>
      </c>
      <c r="S335" s="166" t="str">
        <f t="shared" si="19"/>
        <v>Alto</v>
      </c>
    </row>
    <row r="336" spans="1:20" ht="32.1" hidden="1" customHeight="1">
      <c r="A336" s="95" t="s">
        <v>3194</v>
      </c>
      <c r="B336" s="155" t="s">
        <v>3133</v>
      </c>
      <c r="C336" s="155" t="s">
        <v>3229</v>
      </c>
      <c r="D336" s="99"/>
      <c r="E336" s="104"/>
      <c r="F336" s="158">
        <v>0</v>
      </c>
      <c r="G336" s="158">
        <v>0</v>
      </c>
      <c r="H336" s="158">
        <v>0</v>
      </c>
      <c r="I336" s="158">
        <v>0</v>
      </c>
      <c r="J336" s="158">
        <v>0</v>
      </c>
      <c r="K336" s="104"/>
      <c r="L336" s="104"/>
      <c r="M336" s="104"/>
      <c r="N336" s="104"/>
      <c r="O336" s="104"/>
      <c r="P336" s="158">
        <v>0</v>
      </c>
      <c r="Q336" s="159">
        <f t="shared" si="17"/>
        <v>0</v>
      </c>
      <c r="R336" s="130" t="str">
        <f t="shared" si="18"/>
        <v>SI</v>
      </c>
      <c r="S336" s="160" t="str">
        <f t="shared" si="19"/>
        <v>Sin Riesgo</v>
      </c>
    </row>
    <row r="337" spans="1:19" ht="32.1" hidden="1" customHeight="1">
      <c r="A337" s="95" t="s">
        <v>3194</v>
      </c>
      <c r="B337" s="155" t="s">
        <v>3230</v>
      </c>
      <c r="C337" s="155" t="s">
        <v>3231</v>
      </c>
      <c r="D337" s="99">
        <v>118</v>
      </c>
      <c r="E337" s="104"/>
      <c r="F337" s="104"/>
      <c r="G337" s="104"/>
      <c r="H337" s="104"/>
      <c r="I337" s="104"/>
      <c r="J337" s="104"/>
      <c r="K337" s="157">
        <v>97.35</v>
      </c>
      <c r="L337" s="104"/>
      <c r="M337" s="104"/>
      <c r="N337" s="104"/>
      <c r="O337" s="104"/>
      <c r="P337" s="104"/>
      <c r="Q337" s="159">
        <f t="shared" si="17"/>
        <v>97.35</v>
      </c>
      <c r="R337" s="162" t="str">
        <f t="shared" si="18"/>
        <v>NO</v>
      </c>
      <c r="S337" s="163" t="str">
        <f t="shared" si="19"/>
        <v>Inviable Sanitariamente</v>
      </c>
    </row>
    <row r="338" spans="1:19" ht="32.1" hidden="1" customHeight="1">
      <c r="A338" s="95" t="s">
        <v>3194</v>
      </c>
      <c r="B338" s="155" t="s">
        <v>3232</v>
      </c>
      <c r="C338" s="155" t="s">
        <v>3233</v>
      </c>
      <c r="D338" s="99">
        <v>271</v>
      </c>
      <c r="E338" s="104"/>
      <c r="F338" s="104"/>
      <c r="G338" s="158">
        <v>0</v>
      </c>
      <c r="H338" s="104"/>
      <c r="I338" s="104"/>
      <c r="J338" s="104"/>
      <c r="K338" s="104"/>
      <c r="L338" s="104"/>
      <c r="M338" s="104"/>
      <c r="N338" s="104"/>
      <c r="O338" s="158">
        <v>0</v>
      </c>
      <c r="P338" s="158">
        <v>0</v>
      </c>
      <c r="Q338" s="159">
        <f t="shared" si="17"/>
        <v>0</v>
      </c>
      <c r="R338" s="130" t="str">
        <f t="shared" si="18"/>
        <v>SI</v>
      </c>
      <c r="S338" s="160" t="str">
        <f t="shared" si="19"/>
        <v>Sin Riesgo</v>
      </c>
    </row>
    <row r="339" spans="1:19" ht="32.1" hidden="1" customHeight="1">
      <c r="A339" s="95" t="s">
        <v>3194</v>
      </c>
      <c r="B339" s="155" t="s">
        <v>3234</v>
      </c>
      <c r="C339" s="155" t="s">
        <v>3235</v>
      </c>
      <c r="D339" s="99">
        <v>380</v>
      </c>
      <c r="E339" s="157">
        <v>97.4</v>
      </c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61">
        <f t="shared" si="17"/>
        <v>97.4</v>
      </c>
      <c r="R339" s="162" t="str">
        <f t="shared" si="18"/>
        <v>NO</v>
      </c>
      <c r="S339" s="163" t="str">
        <f t="shared" si="19"/>
        <v>Inviable Sanitariamente</v>
      </c>
    </row>
    <row r="340" spans="1:19" ht="32.1" hidden="1" customHeight="1">
      <c r="A340" s="95" t="s">
        <v>3194</v>
      </c>
      <c r="B340" s="155" t="s">
        <v>1003</v>
      </c>
      <c r="C340" s="155" t="s">
        <v>3236</v>
      </c>
      <c r="D340" s="99">
        <v>260</v>
      </c>
      <c r="E340" s="158">
        <v>0</v>
      </c>
      <c r="F340" s="158">
        <v>0</v>
      </c>
      <c r="G340" s="158">
        <v>0</v>
      </c>
      <c r="H340" s="158">
        <v>0</v>
      </c>
      <c r="I340" s="158">
        <v>0</v>
      </c>
      <c r="J340" s="158">
        <v>0</v>
      </c>
      <c r="K340" s="104"/>
      <c r="L340" s="104"/>
      <c r="M340" s="104"/>
      <c r="N340" s="104"/>
      <c r="O340" s="104"/>
      <c r="P340" s="158">
        <v>0</v>
      </c>
      <c r="Q340" s="159">
        <f t="shared" si="17"/>
        <v>0</v>
      </c>
      <c r="R340" s="130" t="str">
        <f t="shared" si="18"/>
        <v>SI</v>
      </c>
      <c r="S340" s="160" t="str">
        <f t="shared" si="19"/>
        <v>Sin Riesgo</v>
      </c>
    </row>
    <row r="341" spans="1:19" ht="32.1" hidden="1" customHeight="1">
      <c r="A341" s="95" t="s">
        <v>3194</v>
      </c>
      <c r="B341" s="155" t="s">
        <v>3237</v>
      </c>
      <c r="C341" s="155" t="s">
        <v>3238</v>
      </c>
      <c r="D341" s="99">
        <v>1103</v>
      </c>
      <c r="E341" s="104"/>
      <c r="F341" s="158">
        <v>0</v>
      </c>
      <c r="G341" s="158">
        <v>0</v>
      </c>
      <c r="H341" s="158">
        <v>0</v>
      </c>
      <c r="I341" s="158">
        <v>0</v>
      </c>
      <c r="J341" s="158">
        <v>0</v>
      </c>
      <c r="K341" s="104"/>
      <c r="L341" s="104"/>
      <c r="M341" s="104"/>
      <c r="N341" s="104"/>
      <c r="O341" s="104"/>
      <c r="P341" s="158">
        <v>0</v>
      </c>
      <c r="Q341" s="159">
        <f t="shared" si="17"/>
        <v>0</v>
      </c>
      <c r="R341" s="130" t="str">
        <f t="shared" si="18"/>
        <v>SI</v>
      </c>
      <c r="S341" s="160" t="str">
        <f t="shared" si="19"/>
        <v>Sin Riesgo</v>
      </c>
    </row>
    <row r="342" spans="1:19" ht="32.1" hidden="1" customHeight="1">
      <c r="A342" s="95" t="s">
        <v>3194</v>
      </c>
      <c r="B342" s="155" t="s">
        <v>3239</v>
      </c>
      <c r="C342" s="155" t="s">
        <v>3240</v>
      </c>
      <c r="D342" s="99"/>
      <c r="E342" s="158">
        <v>0</v>
      </c>
      <c r="F342" s="158">
        <v>0</v>
      </c>
      <c r="G342" s="158">
        <v>0</v>
      </c>
      <c r="H342" s="158">
        <v>0</v>
      </c>
      <c r="I342" s="158">
        <v>0</v>
      </c>
      <c r="J342" s="158">
        <v>0</v>
      </c>
      <c r="K342" s="104"/>
      <c r="L342" s="104"/>
      <c r="M342" s="104"/>
      <c r="N342" s="104"/>
      <c r="O342" s="104"/>
      <c r="P342" s="104"/>
      <c r="Q342" s="159">
        <f t="shared" si="17"/>
        <v>0</v>
      </c>
      <c r="R342" s="130" t="str">
        <f t="shared" si="18"/>
        <v>SI</v>
      </c>
      <c r="S342" s="160" t="str">
        <f t="shared" si="19"/>
        <v>Sin Riesgo</v>
      </c>
    </row>
    <row r="343" spans="1:19" ht="32.1" hidden="1" customHeight="1">
      <c r="A343" s="95" t="s">
        <v>3194</v>
      </c>
      <c r="B343" s="121" t="s">
        <v>3241</v>
      </c>
      <c r="C343" s="121" t="s">
        <v>3242</v>
      </c>
      <c r="D343" s="99">
        <v>40</v>
      </c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57">
        <v>97.4</v>
      </c>
      <c r="P343" s="104"/>
      <c r="Q343" s="161">
        <f t="shared" si="17"/>
        <v>97.4</v>
      </c>
      <c r="R343" s="162" t="str">
        <f t="shared" si="18"/>
        <v>NO</v>
      </c>
      <c r="S343" s="163" t="str">
        <f t="shared" si="19"/>
        <v>Inviable Sanitariamente</v>
      </c>
    </row>
    <row r="344" spans="1:19" ht="32.1" hidden="1" customHeight="1">
      <c r="A344" s="100" t="s">
        <v>3243</v>
      </c>
      <c r="B344" s="155" t="s">
        <v>3244</v>
      </c>
      <c r="C344" s="155" t="s">
        <v>3245</v>
      </c>
      <c r="D344" s="99">
        <v>17</v>
      </c>
      <c r="E344" s="104"/>
      <c r="F344" s="157">
        <v>97.34</v>
      </c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61">
        <f>AVERAGE(E344:P344)</f>
        <v>97.34</v>
      </c>
      <c r="R344" s="172" t="str">
        <f t="shared" si="18"/>
        <v>NO</v>
      </c>
      <c r="S344" s="163" t="str">
        <f>IF(Q344&lt;5,"Sin Riesgo",IF(Q344 &lt;=14,"Bajo",IF(Q344&lt;=35,"Medio",IF(Q344&lt;=80,"Alto","Inviable Sanitariamente"))))</f>
        <v>Inviable Sanitariamente</v>
      </c>
    </row>
    <row r="345" spans="1:19" ht="32.1" hidden="1" customHeight="1">
      <c r="A345" s="100" t="s">
        <v>3243</v>
      </c>
      <c r="B345" s="155" t="s">
        <v>3246</v>
      </c>
      <c r="C345" s="155" t="s">
        <v>3247</v>
      </c>
      <c r="D345" s="99">
        <v>26</v>
      </c>
      <c r="E345" s="104"/>
      <c r="F345" s="104"/>
      <c r="G345" s="104"/>
      <c r="H345" s="104"/>
      <c r="I345" s="157">
        <v>97.34</v>
      </c>
      <c r="J345" s="104"/>
      <c r="K345" s="104"/>
      <c r="L345" s="104"/>
      <c r="M345" s="104"/>
      <c r="N345" s="104"/>
      <c r="O345" s="104"/>
      <c r="P345" s="104"/>
      <c r="Q345" s="161">
        <f t="shared" ref="Q345:Q360" si="20">AVERAGE(E345:P345)</f>
        <v>97.34</v>
      </c>
      <c r="R345" s="172" t="str">
        <f t="shared" si="18"/>
        <v>NO</v>
      </c>
      <c r="S345" s="163" t="str">
        <f>IF(Q345&lt;5,"Sin Riesgo",IF(Q345 &lt;=14,"Bajo",IF(Q345&lt;=35,"Medio",IF(Q345&lt;=80,"Alto","Inviable Sanitariamente"))))</f>
        <v>Inviable Sanitariamente</v>
      </c>
    </row>
    <row r="346" spans="1:19" ht="32.1" hidden="1" customHeight="1">
      <c r="A346" s="100" t="s">
        <v>3243</v>
      </c>
      <c r="B346" s="155" t="s">
        <v>3248</v>
      </c>
      <c r="C346" s="155" t="s">
        <v>3249</v>
      </c>
      <c r="D346" s="99">
        <v>67</v>
      </c>
      <c r="E346" s="104"/>
      <c r="F346" s="104"/>
      <c r="G346" s="104"/>
      <c r="H346" s="157">
        <v>97.34</v>
      </c>
      <c r="I346" s="104"/>
      <c r="J346" s="104"/>
      <c r="K346" s="104"/>
      <c r="L346" s="104"/>
      <c r="M346" s="104"/>
      <c r="N346" s="104"/>
      <c r="O346" s="104"/>
      <c r="P346" s="104"/>
      <c r="Q346" s="161">
        <f t="shared" si="20"/>
        <v>97.34</v>
      </c>
      <c r="R346" s="172" t="str">
        <f t="shared" si="18"/>
        <v>NO</v>
      </c>
      <c r="S346" s="163" t="str">
        <f t="shared" ref="S346:S360" si="21">IF(Q346&lt;5,"Sin Riesgo",IF(Q346 &lt;=14,"Bajo",IF(Q346&lt;=35,"Medio",IF(Q346&lt;=80,"Alto","Inviable Sanitariamente"))))</f>
        <v>Inviable Sanitariamente</v>
      </c>
    </row>
    <row r="347" spans="1:19" ht="32.1" hidden="1" customHeight="1">
      <c r="A347" s="100" t="s">
        <v>3243</v>
      </c>
      <c r="B347" s="155" t="s">
        <v>3250</v>
      </c>
      <c r="C347" s="155" t="s">
        <v>3251</v>
      </c>
      <c r="D347" s="99">
        <v>42</v>
      </c>
      <c r="E347" s="104"/>
      <c r="F347" s="104"/>
      <c r="G347" s="104"/>
      <c r="H347" s="104"/>
      <c r="I347" s="157">
        <v>97.34</v>
      </c>
      <c r="J347" s="104"/>
      <c r="K347" s="104"/>
      <c r="L347" s="104"/>
      <c r="M347" s="104"/>
      <c r="N347" s="104"/>
      <c r="O347" s="104"/>
      <c r="P347" s="104"/>
      <c r="Q347" s="161">
        <f t="shared" si="20"/>
        <v>97.34</v>
      </c>
      <c r="R347" s="172" t="str">
        <f t="shared" si="18"/>
        <v>NO</v>
      </c>
      <c r="S347" s="163" t="str">
        <f t="shared" si="21"/>
        <v>Inviable Sanitariamente</v>
      </c>
    </row>
    <row r="348" spans="1:19" ht="32.1" hidden="1" customHeight="1">
      <c r="A348" s="100" t="s">
        <v>3243</v>
      </c>
      <c r="B348" s="155" t="s">
        <v>2685</v>
      </c>
      <c r="C348" s="155" t="s">
        <v>3252</v>
      </c>
      <c r="D348" s="99">
        <v>120</v>
      </c>
      <c r="E348" s="104"/>
      <c r="F348" s="104"/>
      <c r="G348" s="104"/>
      <c r="H348" s="104"/>
      <c r="I348" s="104"/>
      <c r="J348" s="104"/>
      <c r="K348" s="104"/>
      <c r="L348" s="104"/>
      <c r="M348" s="157">
        <v>97.34</v>
      </c>
      <c r="N348" s="104"/>
      <c r="O348" s="104"/>
      <c r="P348" s="104"/>
      <c r="Q348" s="161">
        <f t="shared" si="20"/>
        <v>97.34</v>
      </c>
      <c r="R348" s="172" t="str">
        <f t="shared" si="18"/>
        <v>NO</v>
      </c>
      <c r="S348" s="163" t="str">
        <f t="shared" si="21"/>
        <v>Inviable Sanitariamente</v>
      </c>
    </row>
    <row r="349" spans="1:19" ht="32.1" hidden="1" customHeight="1">
      <c r="A349" s="100" t="s">
        <v>3243</v>
      </c>
      <c r="B349" s="155" t="s">
        <v>626</v>
      </c>
      <c r="C349" s="155" t="s">
        <v>3253</v>
      </c>
      <c r="D349" s="99">
        <v>34</v>
      </c>
      <c r="E349" s="104"/>
      <c r="F349" s="157">
        <v>97.34</v>
      </c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61">
        <f t="shared" si="20"/>
        <v>97.34</v>
      </c>
      <c r="R349" s="172" t="str">
        <f t="shared" si="18"/>
        <v>NO</v>
      </c>
      <c r="S349" s="163" t="str">
        <f t="shared" si="21"/>
        <v>Inviable Sanitariamente</v>
      </c>
    </row>
    <row r="350" spans="1:19" ht="32.1" hidden="1" customHeight="1">
      <c r="A350" s="100" t="s">
        <v>3243</v>
      </c>
      <c r="B350" s="155" t="s">
        <v>1327</v>
      </c>
      <c r="C350" s="155" t="s">
        <v>3254</v>
      </c>
      <c r="D350" s="99">
        <v>7</v>
      </c>
      <c r="E350" s="104"/>
      <c r="F350" s="157">
        <v>97.34</v>
      </c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61">
        <f t="shared" si="20"/>
        <v>97.34</v>
      </c>
      <c r="R350" s="172" t="str">
        <f t="shared" si="18"/>
        <v>NO</v>
      </c>
      <c r="S350" s="163" t="str">
        <f t="shared" si="21"/>
        <v>Inviable Sanitariamente</v>
      </c>
    </row>
    <row r="351" spans="1:19" ht="32.1" hidden="1" customHeight="1">
      <c r="A351" s="100" t="s">
        <v>3243</v>
      </c>
      <c r="B351" s="155" t="s">
        <v>2001</v>
      </c>
      <c r="C351" s="155" t="s">
        <v>3255</v>
      </c>
      <c r="D351" s="96">
        <v>40</v>
      </c>
      <c r="E351" s="104"/>
      <c r="F351" s="104"/>
      <c r="G351" s="104"/>
      <c r="H351" s="157">
        <v>97.34</v>
      </c>
      <c r="I351" s="104"/>
      <c r="J351" s="104"/>
      <c r="K351" s="104"/>
      <c r="L351" s="104"/>
      <c r="M351" s="104"/>
      <c r="N351" s="104"/>
      <c r="O351" s="104"/>
      <c r="P351" s="104"/>
      <c r="Q351" s="161">
        <f t="shared" si="20"/>
        <v>97.34</v>
      </c>
      <c r="R351" s="172" t="str">
        <f t="shared" si="18"/>
        <v>NO</v>
      </c>
      <c r="S351" s="163" t="str">
        <f t="shared" si="21"/>
        <v>Inviable Sanitariamente</v>
      </c>
    </row>
    <row r="352" spans="1:19" ht="32.1" hidden="1" customHeight="1">
      <c r="A352" s="100" t="s">
        <v>3243</v>
      </c>
      <c r="B352" s="155" t="s">
        <v>3256</v>
      </c>
      <c r="C352" s="155" t="s">
        <v>3257</v>
      </c>
      <c r="D352" s="99">
        <v>12</v>
      </c>
      <c r="E352" s="104"/>
      <c r="F352" s="104"/>
      <c r="G352" s="104"/>
      <c r="H352" s="104"/>
      <c r="I352" s="157">
        <v>97.34</v>
      </c>
      <c r="J352" s="104"/>
      <c r="K352" s="104"/>
      <c r="L352" s="104"/>
      <c r="M352" s="104"/>
      <c r="N352" s="104"/>
      <c r="O352" s="104"/>
      <c r="P352" s="104"/>
      <c r="Q352" s="161">
        <f t="shared" si="20"/>
        <v>97.34</v>
      </c>
      <c r="R352" s="172" t="str">
        <f t="shared" si="18"/>
        <v>NO</v>
      </c>
      <c r="S352" s="163" t="str">
        <f t="shared" si="21"/>
        <v>Inviable Sanitariamente</v>
      </c>
    </row>
    <row r="353" spans="1:19" ht="32.1" hidden="1" customHeight="1">
      <c r="A353" s="100" t="s">
        <v>3243</v>
      </c>
      <c r="B353" s="155" t="s">
        <v>3258</v>
      </c>
      <c r="C353" s="155" t="s">
        <v>3259</v>
      </c>
      <c r="D353" s="99" t="s">
        <v>3260</v>
      </c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29" t="e">
        <f t="shared" si="20"/>
        <v>#DIV/0!</v>
      </c>
      <c r="R353" s="130" t="e">
        <f t="shared" si="18"/>
        <v>#DIV/0!</v>
      </c>
      <c r="S353" s="131" t="e">
        <f t="shared" si="21"/>
        <v>#DIV/0!</v>
      </c>
    </row>
    <row r="354" spans="1:19" ht="32.1" hidden="1" customHeight="1">
      <c r="A354" s="100" t="s">
        <v>3243</v>
      </c>
      <c r="B354" s="155" t="s">
        <v>8</v>
      </c>
      <c r="C354" s="155" t="s">
        <v>3261</v>
      </c>
      <c r="D354" s="96">
        <v>20</v>
      </c>
      <c r="E354" s="104"/>
      <c r="F354" s="104"/>
      <c r="G354" s="104"/>
      <c r="H354" s="104"/>
      <c r="I354" s="104"/>
      <c r="J354" s="104"/>
      <c r="K354" s="104"/>
      <c r="L354" s="104"/>
      <c r="M354" s="157">
        <v>97.34</v>
      </c>
      <c r="N354" s="104"/>
      <c r="O354" s="104"/>
      <c r="P354" s="104"/>
      <c r="Q354" s="161">
        <f t="shared" si="20"/>
        <v>97.34</v>
      </c>
      <c r="R354" s="172" t="str">
        <f t="shared" si="18"/>
        <v>NO</v>
      </c>
      <c r="S354" s="163" t="str">
        <f t="shared" si="21"/>
        <v>Inviable Sanitariamente</v>
      </c>
    </row>
    <row r="355" spans="1:19" ht="32.1" hidden="1" customHeight="1">
      <c r="A355" s="100" t="s">
        <v>3243</v>
      </c>
      <c r="B355" s="155" t="s">
        <v>51</v>
      </c>
      <c r="C355" s="155" t="s">
        <v>3262</v>
      </c>
      <c r="D355" s="99">
        <v>28</v>
      </c>
      <c r="E355" s="104"/>
      <c r="F355" s="104"/>
      <c r="G355" s="157">
        <v>97.34</v>
      </c>
      <c r="H355" s="104"/>
      <c r="I355" s="104"/>
      <c r="J355" s="104"/>
      <c r="K355" s="104"/>
      <c r="L355" s="104"/>
      <c r="M355" s="104"/>
      <c r="N355" s="104"/>
      <c r="O355" s="104"/>
      <c r="P355" s="104"/>
      <c r="Q355" s="161">
        <f t="shared" si="20"/>
        <v>97.34</v>
      </c>
      <c r="R355" s="172" t="str">
        <f t="shared" si="18"/>
        <v>NO</v>
      </c>
      <c r="S355" s="163" t="str">
        <f t="shared" si="21"/>
        <v>Inviable Sanitariamente</v>
      </c>
    </row>
    <row r="356" spans="1:19" ht="32.1" hidden="1" customHeight="1">
      <c r="A356" s="100" t="s">
        <v>3243</v>
      </c>
      <c r="B356" s="155" t="s">
        <v>3263</v>
      </c>
      <c r="C356" s="155" t="s">
        <v>3264</v>
      </c>
      <c r="D356" s="99">
        <v>28</v>
      </c>
      <c r="E356" s="104"/>
      <c r="F356" s="104"/>
      <c r="G356" s="104"/>
      <c r="H356" s="104"/>
      <c r="I356" s="157">
        <v>97.34</v>
      </c>
      <c r="J356" s="104"/>
      <c r="K356" s="104"/>
      <c r="L356" s="104"/>
      <c r="M356" s="104"/>
      <c r="N356" s="104"/>
      <c r="O356" s="104"/>
      <c r="P356" s="104"/>
      <c r="Q356" s="161">
        <f t="shared" si="20"/>
        <v>97.34</v>
      </c>
      <c r="R356" s="172" t="str">
        <f t="shared" si="18"/>
        <v>NO</v>
      </c>
      <c r="S356" s="163" t="str">
        <f t="shared" si="21"/>
        <v>Inviable Sanitariamente</v>
      </c>
    </row>
    <row r="357" spans="1:19" ht="32.1" hidden="1" customHeight="1">
      <c r="A357" s="100" t="s">
        <v>3243</v>
      </c>
      <c r="B357" s="155" t="s">
        <v>3265</v>
      </c>
      <c r="C357" s="155" t="s">
        <v>3266</v>
      </c>
      <c r="D357" s="96">
        <v>16</v>
      </c>
      <c r="E357" s="104"/>
      <c r="F357" s="104"/>
      <c r="G357" s="104"/>
      <c r="H357" s="104"/>
      <c r="I357" s="157">
        <v>97.34</v>
      </c>
      <c r="J357" s="104"/>
      <c r="K357" s="104"/>
      <c r="L357" s="104"/>
      <c r="M357" s="104"/>
      <c r="N357" s="104"/>
      <c r="O357" s="104"/>
      <c r="P357" s="104"/>
      <c r="Q357" s="161">
        <f t="shared" si="20"/>
        <v>97.34</v>
      </c>
      <c r="R357" s="172" t="str">
        <f t="shared" si="18"/>
        <v>NO</v>
      </c>
      <c r="S357" s="163" t="str">
        <f t="shared" si="21"/>
        <v>Inviable Sanitariamente</v>
      </c>
    </row>
    <row r="358" spans="1:19" ht="32.1" hidden="1" customHeight="1">
      <c r="A358" s="100" t="s">
        <v>3243</v>
      </c>
      <c r="B358" s="155" t="s">
        <v>3267</v>
      </c>
      <c r="C358" s="155" t="s">
        <v>3268</v>
      </c>
      <c r="D358" s="99">
        <v>25</v>
      </c>
      <c r="E358" s="104"/>
      <c r="F358" s="104"/>
      <c r="G358" s="104"/>
      <c r="H358" s="104"/>
      <c r="I358" s="157">
        <v>97.34</v>
      </c>
      <c r="J358" s="104"/>
      <c r="K358" s="104"/>
      <c r="L358" s="104"/>
      <c r="M358" s="104"/>
      <c r="N358" s="104"/>
      <c r="O358" s="104"/>
      <c r="P358" s="104"/>
      <c r="Q358" s="161">
        <f t="shared" si="20"/>
        <v>97.34</v>
      </c>
      <c r="R358" s="172" t="str">
        <f t="shared" si="18"/>
        <v>NO</v>
      </c>
      <c r="S358" s="163" t="str">
        <f t="shared" si="21"/>
        <v>Inviable Sanitariamente</v>
      </c>
    </row>
    <row r="359" spans="1:19" ht="32.1" hidden="1" customHeight="1">
      <c r="A359" s="100" t="s">
        <v>3243</v>
      </c>
      <c r="B359" s="155" t="s">
        <v>1413</v>
      </c>
      <c r="C359" s="155" t="s">
        <v>3269</v>
      </c>
      <c r="D359" s="99">
        <v>42</v>
      </c>
      <c r="E359" s="104"/>
      <c r="F359" s="104"/>
      <c r="G359" s="157">
        <v>97.34</v>
      </c>
      <c r="H359" s="104"/>
      <c r="I359" s="104"/>
      <c r="J359" s="104"/>
      <c r="K359" s="104"/>
      <c r="L359" s="104"/>
      <c r="M359" s="104"/>
      <c r="N359" s="104"/>
      <c r="O359" s="104"/>
      <c r="P359" s="104"/>
      <c r="Q359" s="161">
        <f t="shared" si="20"/>
        <v>97.34</v>
      </c>
      <c r="R359" s="172" t="str">
        <f t="shared" si="18"/>
        <v>NO</v>
      </c>
      <c r="S359" s="163" t="str">
        <f t="shared" si="21"/>
        <v>Inviable Sanitariamente</v>
      </c>
    </row>
    <row r="360" spans="1:19" ht="32.1" hidden="1" customHeight="1">
      <c r="A360" s="100" t="s">
        <v>3243</v>
      </c>
      <c r="B360" s="155" t="s">
        <v>3270</v>
      </c>
      <c r="C360" s="155" t="s">
        <v>3271</v>
      </c>
      <c r="D360" s="99">
        <v>32</v>
      </c>
      <c r="E360" s="104"/>
      <c r="F360" s="104"/>
      <c r="G360" s="156"/>
      <c r="H360" s="104"/>
      <c r="I360" s="104"/>
      <c r="J360" s="104"/>
      <c r="K360" s="104"/>
      <c r="L360" s="104"/>
      <c r="M360" s="104"/>
      <c r="N360" s="157">
        <v>97.34</v>
      </c>
      <c r="O360" s="104"/>
      <c r="P360" s="104"/>
      <c r="Q360" s="161">
        <f t="shared" si="20"/>
        <v>97.34</v>
      </c>
      <c r="R360" s="172" t="str">
        <f t="shared" si="18"/>
        <v>NO</v>
      </c>
      <c r="S360" s="163" t="str">
        <f t="shared" si="21"/>
        <v>Inviable Sanitariamente</v>
      </c>
    </row>
    <row r="361" spans="1:19" ht="32.1" hidden="1" customHeight="1">
      <c r="A361" s="177"/>
      <c r="B361" s="177"/>
      <c r="C361" s="177"/>
      <c r="D361" s="177"/>
    </row>
    <row r="362" spans="1:19" ht="32.1" hidden="1" customHeight="1">
      <c r="A362" s="177"/>
      <c r="B362" s="177"/>
      <c r="C362" s="177"/>
      <c r="D362" s="177"/>
    </row>
    <row r="363" spans="1:19" ht="32.1" hidden="1" customHeight="1">
      <c r="A363" s="177"/>
      <c r="B363" s="177"/>
      <c r="C363" s="177"/>
      <c r="D363" s="177"/>
    </row>
    <row r="364" spans="1:19" ht="32.1" hidden="1" customHeight="1">
      <c r="A364" s="177"/>
      <c r="B364" s="177"/>
      <c r="C364" s="177"/>
      <c r="D364" s="177"/>
    </row>
    <row r="365" spans="1:19" ht="32.1" hidden="1" customHeight="1">
      <c r="A365" s="177"/>
      <c r="B365" s="177"/>
      <c r="C365" s="177"/>
      <c r="D365" s="177"/>
    </row>
    <row r="366" spans="1:19" ht="32.1" hidden="1" customHeight="1">
      <c r="A366" s="177"/>
      <c r="B366" s="177"/>
      <c r="C366" s="177"/>
      <c r="D366" s="177"/>
    </row>
    <row r="367" spans="1:19" ht="32.1" hidden="1" customHeight="1">
      <c r="A367" s="177"/>
      <c r="B367" s="177"/>
      <c r="C367" s="177"/>
      <c r="D367" s="177"/>
    </row>
    <row r="368" spans="1:19" ht="32.1" hidden="1" customHeight="1">
      <c r="A368" s="177"/>
      <c r="B368" s="177"/>
      <c r="C368" s="177"/>
      <c r="D368" s="177"/>
    </row>
    <row r="369" s="177" customFormat="1" ht="32.1" hidden="1" customHeight="1"/>
    <row r="370" s="177" customFormat="1" ht="32.1" hidden="1" customHeight="1"/>
    <row r="371" s="177" customFormat="1" ht="32.1" hidden="1" customHeight="1"/>
    <row r="372" s="177" customFormat="1" ht="32.1" hidden="1" customHeight="1"/>
    <row r="373" s="177" customFormat="1" ht="32.1" hidden="1" customHeight="1"/>
    <row r="374" s="177" customFormat="1" ht="32.1" hidden="1" customHeight="1"/>
    <row r="375" s="177" customFormat="1" ht="32.1" hidden="1" customHeight="1"/>
    <row r="376" s="177" customFormat="1" ht="32.1" hidden="1" customHeight="1"/>
    <row r="377" s="177" customFormat="1" ht="32.1" hidden="1" customHeight="1"/>
    <row r="378" s="177" customFormat="1" ht="32.1" hidden="1" customHeight="1"/>
    <row r="379" s="177" customFormat="1" ht="32.1" hidden="1" customHeight="1"/>
    <row r="380" s="177" customFormat="1" ht="32.1" hidden="1" customHeight="1"/>
    <row r="381" s="177" customFormat="1" ht="32.1" hidden="1" customHeight="1"/>
    <row r="382" s="177" customFormat="1" ht="32.1" hidden="1" customHeight="1"/>
    <row r="383" s="177" customFormat="1" ht="32.1" hidden="1" customHeight="1"/>
    <row r="384" s="177" customFormat="1" ht="32.1" hidden="1" customHeight="1"/>
    <row r="385" s="177" customFormat="1" ht="32.1" hidden="1" customHeight="1"/>
    <row r="386" s="177" customFormat="1" ht="32.1" hidden="1" customHeight="1"/>
    <row r="387" s="177" customFormat="1" ht="32.1" hidden="1" customHeight="1"/>
    <row r="388" s="177" customFormat="1" ht="32.1" hidden="1" customHeight="1"/>
    <row r="389" s="177" customFormat="1" ht="32.1" hidden="1" customHeight="1"/>
    <row r="390" s="177" customFormat="1" ht="32.1" hidden="1" customHeight="1"/>
    <row r="391" s="177" customFormat="1" ht="32.1" hidden="1" customHeight="1"/>
    <row r="392" s="177" customFormat="1" ht="32.1" hidden="1" customHeight="1"/>
    <row r="393" s="177" customFormat="1" ht="32.1" hidden="1" customHeight="1"/>
    <row r="394" s="177" customFormat="1" ht="32.1" hidden="1" customHeight="1"/>
    <row r="395" s="177" customFormat="1" ht="32.1" hidden="1" customHeight="1"/>
    <row r="396" s="177" customFormat="1" ht="32.1" hidden="1" customHeight="1"/>
    <row r="397" s="177" customFormat="1" ht="32.1" hidden="1" customHeight="1"/>
    <row r="398" s="177" customFormat="1" ht="32.1" hidden="1" customHeight="1"/>
    <row r="399" s="177" customFormat="1" ht="32.1" hidden="1" customHeight="1"/>
    <row r="400" s="177" customFormat="1" ht="32.1" hidden="1" customHeight="1"/>
    <row r="401" s="177" customFormat="1" ht="32.1" hidden="1" customHeight="1"/>
    <row r="402" s="177" customFormat="1" ht="32.1" hidden="1" customHeight="1"/>
    <row r="403" s="177" customFormat="1" ht="32.1" hidden="1" customHeight="1"/>
    <row r="404" s="177" customFormat="1" ht="32.1" hidden="1" customHeight="1"/>
    <row r="405" s="177" customFormat="1" ht="32.1" hidden="1" customHeight="1"/>
    <row r="406" s="177" customFormat="1" ht="32.1" hidden="1" customHeight="1"/>
    <row r="407" s="177" customFormat="1" ht="32.1" hidden="1" customHeight="1"/>
    <row r="408" s="177" customFormat="1" ht="32.1" hidden="1" customHeight="1"/>
    <row r="409" s="177" customFormat="1" ht="32.1" hidden="1" customHeight="1"/>
    <row r="410" s="177" customFormat="1" ht="32.1" hidden="1" customHeight="1"/>
    <row r="411" s="177" customFormat="1" ht="32.1" hidden="1" customHeight="1"/>
    <row r="412" s="177" customFormat="1" ht="32.1" hidden="1" customHeight="1"/>
    <row r="413" s="177" customFormat="1" ht="32.1" hidden="1" customHeight="1"/>
    <row r="414" s="177" customFormat="1" ht="32.1" hidden="1" customHeight="1"/>
    <row r="415" s="177" customFormat="1" ht="32.1" hidden="1" customHeight="1"/>
    <row r="416" s="177" customFormat="1" ht="32.1" hidden="1" customHeight="1"/>
    <row r="417" s="177" customFormat="1" ht="32.1" hidden="1" customHeight="1"/>
    <row r="418" s="177" customFormat="1" ht="32.1" hidden="1" customHeight="1"/>
    <row r="419" s="177" customFormat="1" ht="32.1" hidden="1" customHeight="1"/>
    <row r="420" s="177" customFormat="1" ht="32.1" hidden="1" customHeight="1"/>
    <row r="421" s="177" customFormat="1" ht="32.1" hidden="1" customHeight="1"/>
    <row r="422" s="177" customFormat="1" ht="32.1" hidden="1" customHeight="1"/>
    <row r="423" s="177" customFormat="1" ht="32.1" hidden="1" customHeight="1"/>
    <row r="424" s="177" customFormat="1" ht="32.1" hidden="1" customHeight="1"/>
    <row r="425" s="177" customFormat="1" ht="32.1" hidden="1" customHeight="1"/>
    <row r="426" s="177" customFormat="1" ht="32.1" hidden="1" customHeight="1"/>
    <row r="427" s="177" customFormat="1" ht="32.1" hidden="1" customHeight="1"/>
    <row r="428" s="177" customFormat="1" ht="32.1" hidden="1" customHeight="1"/>
    <row r="429" s="177" customFormat="1" ht="32.1" hidden="1" customHeight="1"/>
    <row r="430" s="177" customFormat="1" ht="32.1" hidden="1" customHeight="1"/>
    <row r="431" s="177" customFormat="1" ht="32.1" hidden="1" customHeight="1"/>
    <row r="432" s="177" customFormat="1" ht="32.1" hidden="1" customHeight="1"/>
    <row r="433" s="177" customFormat="1" ht="32.1" hidden="1" customHeight="1"/>
    <row r="434" s="177" customFormat="1" ht="32.1" hidden="1" customHeight="1"/>
    <row r="435" s="177" customFormat="1" ht="32.1" hidden="1" customHeight="1"/>
    <row r="436" s="177" customFormat="1" ht="32.1" hidden="1" customHeight="1"/>
    <row r="437" s="177" customFormat="1" ht="32.1" hidden="1" customHeight="1"/>
    <row r="438" s="177" customFormat="1" ht="32.1" hidden="1" customHeight="1"/>
    <row r="439" s="177" customFormat="1" ht="32.1" hidden="1" customHeight="1"/>
    <row r="440" s="177" customFormat="1" ht="32.1" hidden="1" customHeight="1"/>
    <row r="441" s="177" customFormat="1" ht="32.1" hidden="1" customHeight="1"/>
    <row r="442" s="177" customFormat="1" ht="32.1" hidden="1" customHeight="1"/>
    <row r="443" s="177" customFormat="1" ht="32.1" hidden="1" customHeight="1"/>
    <row r="444" s="177" customFormat="1" ht="32.1" hidden="1" customHeight="1"/>
    <row r="445" s="177" customFormat="1" ht="32.1" hidden="1" customHeight="1"/>
    <row r="446" s="177" customFormat="1" ht="32.1" hidden="1" customHeight="1"/>
    <row r="447" s="177" customFormat="1" ht="32.1" hidden="1" customHeight="1"/>
    <row r="448" s="177" customFormat="1" ht="32.1" hidden="1" customHeight="1"/>
    <row r="449" s="177" customFormat="1" ht="32.1" hidden="1" customHeight="1"/>
    <row r="450" s="177" customFormat="1" ht="32.1" hidden="1" customHeight="1"/>
    <row r="451" s="177" customFormat="1" ht="32.1" hidden="1" customHeight="1"/>
    <row r="452" s="177" customFormat="1" ht="32.1" hidden="1" customHeight="1"/>
    <row r="453" s="177" customFormat="1" ht="32.1" hidden="1" customHeight="1"/>
    <row r="454" s="177" customFormat="1" ht="32.1" hidden="1" customHeight="1"/>
    <row r="455" s="177" customFormat="1" ht="32.1" hidden="1" customHeight="1"/>
    <row r="456" s="177" customFormat="1" ht="32.1" hidden="1" customHeight="1"/>
    <row r="457" s="177" customFormat="1" ht="32.1" hidden="1" customHeight="1"/>
    <row r="458" s="177" customFormat="1" ht="32.1" hidden="1" customHeight="1"/>
    <row r="459" s="177" customFormat="1" ht="32.1" hidden="1" customHeight="1"/>
    <row r="460" s="177" customFormat="1" ht="32.1" hidden="1" customHeight="1"/>
    <row r="461" s="177" customFormat="1" ht="32.1" hidden="1" customHeight="1"/>
    <row r="462" s="177" customFormat="1" ht="32.1" hidden="1" customHeight="1"/>
    <row r="463" s="177" customFormat="1" ht="32.1" hidden="1" customHeight="1"/>
    <row r="464" s="177" customFormat="1" ht="32.1" hidden="1" customHeight="1"/>
    <row r="465" s="177" customFormat="1" ht="32.1" hidden="1" customHeight="1"/>
    <row r="466" s="177" customFormat="1" ht="32.1" hidden="1" customHeight="1"/>
    <row r="467" s="177" customFormat="1" ht="32.1" hidden="1" customHeight="1"/>
    <row r="468" s="177" customFormat="1" ht="32.1" hidden="1" customHeight="1"/>
    <row r="469" s="177" customFormat="1" ht="32.1" hidden="1" customHeight="1"/>
    <row r="470" s="177" customFormat="1" ht="32.1" hidden="1" customHeight="1"/>
    <row r="471" s="177" customFormat="1" ht="32.1" hidden="1" customHeight="1"/>
    <row r="472" s="177" customFormat="1" ht="32.1" hidden="1" customHeight="1"/>
    <row r="473" s="177" customFormat="1" ht="32.1" hidden="1" customHeight="1"/>
    <row r="474" s="177" customFormat="1" ht="32.1" hidden="1" customHeight="1"/>
    <row r="475" s="177" customFormat="1" ht="32.1" hidden="1" customHeight="1"/>
    <row r="476" s="177" customFormat="1" ht="32.1" hidden="1" customHeight="1"/>
    <row r="477" s="177" customFormat="1" ht="32.1" hidden="1" customHeight="1"/>
    <row r="478" s="177" customFormat="1" ht="32.1" hidden="1" customHeight="1"/>
    <row r="479" s="177" customFormat="1" ht="32.1" hidden="1" customHeight="1"/>
    <row r="480" s="177" customFormat="1" ht="32.1" hidden="1" customHeight="1"/>
    <row r="481" s="177" customFormat="1" ht="32.1" hidden="1" customHeight="1"/>
    <row r="482" s="177" customFormat="1" ht="32.1" customHeight="1"/>
    <row r="483" s="177" customFormat="1" ht="32.1" customHeight="1"/>
    <row r="484" s="177" customFormat="1" ht="32.1" customHeight="1"/>
    <row r="485" s="177" customFormat="1" ht="32.1" customHeight="1"/>
    <row r="486" s="177" customFormat="1" ht="32.1" customHeight="1"/>
    <row r="487" s="177" customFormat="1" ht="32.1" customHeight="1"/>
    <row r="488" s="177" customFormat="1" ht="32.1" customHeight="1"/>
    <row r="489" s="177" customFormat="1" ht="32.1" customHeight="1"/>
    <row r="490" s="177" customFormat="1" ht="32.1" customHeight="1"/>
    <row r="491" s="177" customFormat="1" ht="32.1" customHeight="1"/>
    <row r="492" s="177" customFormat="1" ht="32.1" customHeight="1"/>
    <row r="493" s="177" customFormat="1" ht="32.1" customHeight="1"/>
    <row r="494" s="177" customFormat="1" ht="32.1" customHeight="1"/>
    <row r="495" s="177" customFormat="1" ht="32.1" customHeight="1"/>
    <row r="496" s="177" customFormat="1" ht="32.1" customHeight="1"/>
    <row r="497" spans="1:4" ht="32.1" customHeight="1">
      <c r="A497" s="177"/>
      <c r="B497" s="177"/>
      <c r="C497" s="177"/>
      <c r="D497" s="177"/>
    </row>
    <row r="498" spans="1:4" ht="32.1" customHeight="1">
      <c r="A498" s="177"/>
      <c r="B498" s="177"/>
      <c r="C498" s="177"/>
      <c r="D498" s="177"/>
    </row>
    <row r="499" spans="1:4" ht="32.1" customHeight="1">
      <c r="A499" s="177"/>
      <c r="B499" s="177"/>
      <c r="C499" s="177"/>
      <c r="D499" s="177"/>
    </row>
    <row r="500" spans="1:4" ht="32.1" customHeight="1">
      <c r="A500" s="177"/>
      <c r="B500" s="177"/>
      <c r="C500" s="177"/>
      <c r="D500" s="177"/>
    </row>
    <row r="501" spans="1:4" ht="32.1" customHeight="1">
      <c r="A501" s="177"/>
      <c r="B501" s="177"/>
      <c r="C501" s="177"/>
      <c r="D501" s="177"/>
    </row>
    <row r="502" spans="1:4">
      <c r="A502" s="177"/>
      <c r="B502" s="177"/>
      <c r="C502" s="177"/>
      <c r="D502" s="177"/>
    </row>
    <row r="503" spans="1:4">
      <c r="A503" s="177"/>
      <c r="B503" s="177"/>
      <c r="C503" s="177"/>
      <c r="D503" s="177"/>
    </row>
    <row r="504" spans="1:4">
      <c r="A504" s="177"/>
      <c r="B504" s="177"/>
      <c r="C504" s="177"/>
      <c r="D504" s="177"/>
    </row>
    <row r="505" spans="1:4">
      <c r="A505" s="177"/>
      <c r="B505" s="177"/>
      <c r="C505" s="177"/>
      <c r="D505" s="177"/>
    </row>
    <row r="506" spans="1:4">
      <c r="A506" s="177"/>
      <c r="B506" s="177"/>
      <c r="C506" s="177"/>
      <c r="D506" s="177"/>
    </row>
    <row r="507" spans="1:4">
      <c r="A507" s="177"/>
      <c r="B507" s="177"/>
      <c r="C507" s="177"/>
      <c r="D507" s="177"/>
    </row>
    <row r="508" spans="1:4"/>
    <row r="509" spans="1:4"/>
    <row r="510" spans="1:4"/>
    <row r="511" spans="1:4"/>
    <row r="512" spans="1:4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602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8" ht="12.75" customHeight="1"/>
    <row r="749" ht="12.75" customHeight="1"/>
    <row r="750" ht="12.75" customHeight="1"/>
  </sheetData>
  <autoFilter ref="A10:W264" xr:uid="{00000000-0009-0000-0000-000002000000}">
    <sortState ref="A12:W266">
      <sortCondition ref="A9:A266"/>
    </sortState>
  </autoFilter>
  <customSheetViews>
    <customSheetView guid="{75DD7674-E7DE-4BB1-A36D-76AA33452CB3}" scale="60" showAutoFilter="1" hiddenRows="1" hiddenColumns="1">
      <pane xSplit="3" ySplit="9" topLeftCell="E10" activePane="bottomRight" state="frozenSplit"/>
      <selection pane="bottomRight" activeCell="D268" sqref="D26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264" xr:uid="{00000000-0000-0000-0000-000000000000}">
        <sortState ref="A12:W264">
          <sortCondition ref="A9:A264"/>
        </sortState>
      </autoFilter>
    </customSheetView>
    <customSheetView guid="{AEDE1BDB-8710-4CDA-8488-31F49D423ACE}" scale="55" hiddenRows="1" hiddenColumns="1">
      <pane xSplit="3" ySplit="9" topLeftCell="S250" activePane="bottomRight" state="frozenSplit"/>
      <selection pane="bottomRight" activeCell="S270" sqref="S27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9" topLeftCell="D70" activePane="bottomRight" state="frozenSplit"/>
      <selection pane="bottomRight" activeCell="C72" sqref="C7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45C8AF51-29EC-46A5-AB7F-1F0634E55D82}" scale="60" showAutoFilter="1" hiddenRows="1" hiddenColumns="1">
      <pane xSplit="3" ySplit="9" topLeftCell="D271" activePane="bottomRight" state="frozenSplit"/>
      <selection pane="bottomRight" activeCell="B277" sqref="B277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:S264" xr:uid="{00000000-0000-0000-0000-000000000000}">
        <filterColumn colId="1" showButton="0"/>
        <filterColumn colId="2" showButton="0"/>
      </autoFilter>
    </customSheetView>
  </customSheetViews>
  <mergeCells count="22">
    <mergeCell ref="A9:A10"/>
    <mergeCell ref="B9:B10"/>
    <mergeCell ref="C9:C10"/>
    <mergeCell ref="D9:D10"/>
    <mergeCell ref="E9:P9"/>
    <mergeCell ref="C267:S267"/>
    <mergeCell ref="C268:S268"/>
    <mergeCell ref="C269:S269"/>
    <mergeCell ref="R9:R10"/>
    <mergeCell ref="S9:S10"/>
    <mergeCell ref="Q9:Q10"/>
    <mergeCell ref="S5:S6"/>
    <mergeCell ref="B1:D1"/>
    <mergeCell ref="B2:D2"/>
    <mergeCell ref="B3:D3"/>
    <mergeCell ref="E5:G6"/>
    <mergeCell ref="A7:B7"/>
    <mergeCell ref="H5:J6"/>
    <mergeCell ref="K5:M6"/>
    <mergeCell ref="N5:P6"/>
    <mergeCell ref="Q5:R6"/>
    <mergeCell ref="B5:C6"/>
  </mergeCells>
  <conditionalFormatting sqref="E136:J147 E60:P60 E150:P158 E162:P162 E62:P65 E95:P95 E102:P102 E106:P108 E111:P111 E98:P99 E126:P135 E160:P160 E174:P182 E166:P170 E201:P201 E233:P240">
    <cfRule type="containsBlanks" dxfId="11622" priority="1720" stopIfTrue="1">
      <formula>LEN(TRIM(E60))=0</formula>
    </cfRule>
    <cfRule type="cellIs" dxfId="11621" priority="1721" stopIfTrue="1" operator="between">
      <formula>79.1</formula>
      <formula>100</formula>
    </cfRule>
    <cfRule type="cellIs" dxfId="11620" priority="1722" stopIfTrue="1" operator="between">
      <formula>34.1</formula>
      <formula>79</formula>
    </cfRule>
    <cfRule type="cellIs" dxfId="11619" priority="1723" stopIfTrue="1" operator="between">
      <formula>13.1</formula>
      <formula>34</formula>
    </cfRule>
    <cfRule type="cellIs" dxfId="11618" priority="1724" stopIfTrue="1" operator="between">
      <formula>5.1</formula>
      <formula>13</formula>
    </cfRule>
    <cfRule type="cellIs" dxfId="11617" priority="1725" stopIfTrue="1" operator="between">
      <formula>0</formula>
      <formula>5</formula>
    </cfRule>
    <cfRule type="containsBlanks" dxfId="11616" priority="1726" stopIfTrue="1">
      <formula>LEN(TRIM(E60))=0</formula>
    </cfRule>
  </conditionalFormatting>
  <conditionalFormatting sqref="E244:P244 O241:P241 M243:P243 E326:Q326 E40:Q43 Q162:Q170 E270:P295 Q270:Q325 Q39 Q89:Q114 E265:P266 Q172:Q266 Q116 Q118:Q160">
    <cfRule type="containsBlanks" dxfId="11615" priority="1713" stopIfTrue="1">
      <formula>LEN(TRIM(E39))=0</formula>
    </cfRule>
    <cfRule type="cellIs" dxfId="11614" priority="1714" stopIfTrue="1" operator="between">
      <formula>80.1</formula>
      <formula>100</formula>
    </cfRule>
    <cfRule type="cellIs" dxfId="11613" priority="1715" stopIfTrue="1" operator="between">
      <formula>35.1</formula>
      <formula>80</formula>
    </cfRule>
    <cfRule type="cellIs" dxfId="11612" priority="1716" stopIfTrue="1" operator="between">
      <formula>14.1</formula>
      <formula>35</formula>
    </cfRule>
    <cfRule type="cellIs" dxfId="11611" priority="1717" stopIfTrue="1" operator="between">
      <formula>5.1</formula>
      <formula>14</formula>
    </cfRule>
    <cfRule type="cellIs" dxfId="11610" priority="1718" stopIfTrue="1" operator="between">
      <formula>0</formula>
      <formula>5</formula>
    </cfRule>
    <cfRule type="containsBlanks" dxfId="11609" priority="1719" stopIfTrue="1">
      <formula>LEN(TRIM(E39))=0</formula>
    </cfRule>
  </conditionalFormatting>
  <conditionalFormatting sqref="E136:P136 E144:P147">
    <cfRule type="containsBlanks" dxfId="11608" priority="1699" stopIfTrue="1">
      <formula>LEN(TRIM(E136))=0</formula>
    </cfRule>
    <cfRule type="cellIs" dxfId="11607" priority="1700" stopIfTrue="1" operator="between">
      <formula>79.1</formula>
      <formula>100</formula>
    </cfRule>
    <cfRule type="cellIs" dxfId="11606" priority="1701" stopIfTrue="1" operator="between">
      <formula>34.1</formula>
      <formula>79</formula>
    </cfRule>
    <cfRule type="cellIs" dxfId="11605" priority="1702" stopIfTrue="1" operator="between">
      <formula>13.1</formula>
      <formula>34</formula>
    </cfRule>
    <cfRule type="cellIs" dxfId="11604" priority="1703" stopIfTrue="1" operator="between">
      <formula>5.1</formula>
      <formula>13</formula>
    </cfRule>
    <cfRule type="cellIs" dxfId="11603" priority="1704" stopIfTrue="1" operator="between">
      <formula>0</formula>
      <formula>5</formula>
    </cfRule>
    <cfRule type="containsBlanks" dxfId="11602" priority="1705" stopIfTrue="1">
      <formula>LEN(TRIM(E136))=0</formula>
    </cfRule>
  </conditionalFormatting>
  <conditionalFormatting sqref="F137:P137">
    <cfRule type="containsBlanks" dxfId="11601" priority="1531" stopIfTrue="1">
      <formula>LEN(TRIM(F137))=0</formula>
    </cfRule>
    <cfRule type="cellIs" dxfId="11600" priority="1532" stopIfTrue="1" operator="between">
      <formula>80.1</formula>
      <formula>100</formula>
    </cfRule>
    <cfRule type="cellIs" dxfId="11599" priority="1533" stopIfTrue="1" operator="between">
      <formula>35.1</formula>
      <formula>80</formula>
    </cfRule>
    <cfRule type="cellIs" dxfId="11598" priority="1534" stopIfTrue="1" operator="between">
      <formula>14.1</formula>
      <formula>35</formula>
    </cfRule>
    <cfRule type="cellIs" dxfId="11597" priority="1535" stopIfTrue="1" operator="between">
      <formula>5.1</formula>
      <formula>14</formula>
    </cfRule>
    <cfRule type="cellIs" dxfId="11596" priority="1536" stopIfTrue="1" operator="between">
      <formula>0</formula>
      <formula>5</formula>
    </cfRule>
    <cfRule type="containsBlanks" dxfId="11595" priority="1537" stopIfTrue="1">
      <formula>LEN(TRIM(F137))=0</formula>
    </cfRule>
  </conditionalFormatting>
  <conditionalFormatting sqref="E137">
    <cfRule type="containsBlanks" dxfId="11594" priority="1524" stopIfTrue="1">
      <formula>LEN(TRIM(E137))=0</formula>
    </cfRule>
    <cfRule type="cellIs" dxfId="11593" priority="1525" stopIfTrue="1" operator="between">
      <formula>80.1</formula>
      <formula>100</formula>
    </cfRule>
    <cfRule type="cellIs" dxfId="11592" priority="1526" stopIfTrue="1" operator="between">
      <formula>35.1</formula>
      <formula>80</formula>
    </cfRule>
    <cfRule type="cellIs" dxfId="11591" priority="1527" stopIfTrue="1" operator="between">
      <formula>14.1</formula>
      <formula>35</formula>
    </cfRule>
    <cfRule type="cellIs" dxfId="11590" priority="1528" stopIfTrue="1" operator="between">
      <formula>5.1</formula>
      <formula>14</formula>
    </cfRule>
    <cfRule type="cellIs" dxfId="11589" priority="1529" stopIfTrue="1" operator="between">
      <formula>0</formula>
      <formula>5</formula>
    </cfRule>
    <cfRule type="containsBlanks" dxfId="11588" priority="1530" stopIfTrue="1">
      <formula>LEN(TRIM(E137))=0</formula>
    </cfRule>
  </conditionalFormatting>
  <conditionalFormatting sqref="F138:P138">
    <cfRule type="containsBlanks" dxfId="11587" priority="1517" stopIfTrue="1">
      <formula>LEN(TRIM(F138))=0</formula>
    </cfRule>
    <cfRule type="cellIs" dxfId="11586" priority="1518" stopIfTrue="1" operator="between">
      <formula>80.1</formula>
      <formula>100</formula>
    </cfRule>
    <cfRule type="cellIs" dxfId="11585" priority="1519" stopIfTrue="1" operator="between">
      <formula>35.1</formula>
      <formula>80</formula>
    </cfRule>
    <cfRule type="cellIs" dxfId="11584" priority="1520" stopIfTrue="1" operator="between">
      <formula>14.1</formula>
      <formula>35</formula>
    </cfRule>
    <cfRule type="cellIs" dxfId="11583" priority="1521" stopIfTrue="1" operator="between">
      <formula>5.1</formula>
      <formula>14</formula>
    </cfRule>
    <cfRule type="cellIs" dxfId="11582" priority="1522" stopIfTrue="1" operator="between">
      <formula>0</formula>
      <formula>5</formula>
    </cfRule>
    <cfRule type="containsBlanks" dxfId="11581" priority="1523" stopIfTrue="1">
      <formula>LEN(TRIM(F138))=0</formula>
    </cfRule>
  </conditionalFormatting>
  <conditionalFormatting sqref="E138">
    <cfRule type="containsBlanks" dxfId="11580" priority="1510" stopIfTrue="1">
      <formula>LEN(TRIM(E138))=0</formula>
    </cfRule>
    <cfRule type="cellIs" dxfId="11579" priority="1511" stopIfTrue="1" operator="between">
      <formula>80.1</formula>
      <formula>100</formula>
    </cfRule>
    <cfRule type="cellIs" dxfId="11578" priority="1512" stopIfTrue="1" operator="between">
      <formula>35.1</formula>
      <formula>80</formula>
    </cfRule>
    <cfRule type="cellIs" dxfId="11577" priority="1513" stopIfTrue="1" operator="between">
      <formula>14.1</formula>
      <formula>35</formula>
    </cfRule>
    <cfRule type="cellIs" dxfId="11576" priority="1514" stopIfTrue="1" operator="between">
      <formula>5.1</formula>
      <formula>14</formula>
    </cfRule>
    <cfRule type="cellIs" dxfId="11575" priority="1515" stopIfTrue="1" operator="between">
      <formula>0</formula>
      <formula>5</formula>
    </cfRule>
    <cfRule type="containsBlanks" dxfId="11574" priority="1516" stopIfTrue="1">
      <formula>LEN(TRIM(E138))=0</formula>
    </cfRule>
  </conditionalFormatting>
  <conditionalFormatting sqref="F139:P139">
    <cfRule type="containsBlanks" dxfId="11573" priority="1503" stopIfTrue="1">
      <formula>LEN(TRIM(F139))=0</formula>
    </cfRule>
    <cfRule type="cellIs" dxfId="11572" priority="1504" stopIfTrue="1" operator="between">
      <formula>80.1</formula>
      <formula>100</formula>
    </cfRule>
    <cfRule type="cellIs" dxfId="11571" priority="1505" stopIfTrue="1" operator="between">
      <formula>35.1</formula>
      <formula>80</formula>
    </cfRule>
    <cfRule type="cellIs" dxfId="11570" priority="1506" stopIfTrue="1" operator="between">
      <formula>14.1</formula>
      <formula>35</formula>
    </cfRule>
    <cfRule type="cellIs" dxfId="11569" priority="1507" stopIfTrue="1" operator="between">
      <formula>5.1</formula>
      <formula>14</formula>
    </cfRule>
    <cfRule type="cellIs" dxfId="11568" priority="1508" stopIfTrue="1" operator="between">
      <formula>0</formula>
      <formula>5</formula>
    </cfRule>
    <cfRule type="containsBlanks" dxfId="11567" priority="1509" stopIfTrue="1">
      <formula>LEN(TRIM(F139))=0</formula>
    </cfRule>
  </conditionalFormatting>
  <conditionalFormatting sqref="E139">
    <cfRule type="containsBlanks" dxfId="11566" priority="1496" stopIfTrue="1">
      <formula>LEN(TRIM(E139))=0</formula>
    </cfRule>
    <cfRule type="cellIs" dxfId="11565" priority="1497" stopIfTrue="1" operator="between">
      <formula>80.1</formula>
      <formula>100</formula>
    </cfRule>
    <cfRule type="cellIs" dxfId="11564" priority="1498" stopIfTrue="1" operator="between">
      <formula>35.1</formula>
      <formula>80</formula>
    </cfRule>
    <cfRule type="cellIs" dxfId="11563" priority="1499" stopIfTrue="1" operator="between">
      <formula>14.1</formula>
      <formula>35</formula>
    </cfRule>
    <cfRule type="cellIs" dxfId="11562" priority="1500" stopIfTrue="1" operator="between">
      <formula>5.1</formula>
      <formula>14</formula>
    </cfRule>
    <cfRule type="cellIs" dxfId="11561" priority="1501" stopIfTrue="1" operator="between">
      <formula>0</formula>
      <formula>5</formula>
    </cfRule>
    <cfRule type="containsBlanks" dxfId="11560" priority="1502" stopIfTrue="1">
      <formula>LEN(TRIM(E139))=0</formula>
    </cfRule>
  </conditionalFormatting>
  <conditionalFormatting sqref="F140:P140">
    <cfRule type="containsBlanks" dxfId="11559" priority="1489" stopIfTrue="1">
      <formula>LEN(TRIM(F140))=0</formula>
    </cfRule>
    <cfRule type="cellIs" dxfId="11558" priority="1490" stopIfTrue="1" operator="between">
      <formula>80.1</formula>
      <formula>100</formula>
    </cfRule>
    <cfRule type="cellIs" dxfId="11557" priority="1491" stopIfTrue="1" operator="between">
      <formula>35.1</formula>
      <formula>80</formula>
    </cfRule>
    <cfRule type="cellIs" dxfId="11556" priority="1492" stopIfTrue="1" operator="between">
      <formula>14.1</formula>
      <formula>35</formula>
    </cfRule>
    <cfRule type="cellIs" dxfId="11555" priority="1493" stopIfTrue="1" operator="between">
      <formula>5.1</formula>
      <formula>14</formula>
    </cfRule>
    <cfRule type="cellIs" dxfId="11554" priority="1494" stopIfTrue="1" operator="between">
      <formula>0</formula>
      <formula>5</formula>
    </cfRule>
    <cfRule type="containsBlanks" dxfId="11553" priority="1495" stopIfTrue="1">
      <formula>LEN(TRIM(F140))=0</formula>
    </cfRule>
  </conditionalFormatting>
  <conditionalFormatting sqref="E140">
    <cfRule type="containsBlanks" dxfId="11552" priority="1482" stopIfTrue="1">
      <formula>LEN(TRIM(E140))=0</formula>
    </cfRule>
    <cfRule type="cellIs" dxfId="11551" priority="1483" stopIfTrue="1" operator="between">
      <formula>80.1</formula>
      <formula>100</formula>
    </cfRule>
    <cfRule type="cellIs" dxfId="11550" priority="1484" stopIfTrue="1" operator="between">
      <formula>35.1</formula>
      <formula>80</formula>
    </cfRule>
    <cfRule type="cellIs" dxfId="11549" priority="1485" stopIfTrue="1" operator="between">
      <formula>14.1</formula>
      <formula>35</formula>
    </cfRule>
    <cfRule type="cellIs" dxfId="11548" priority="1486" stopIfTrue="1" operator="between">
      <formula>5.1</formula>
      <formula>14</formula>
    </cfRule>
    <cfRule type="cellIs" dxfId="11547" priority="1487" stopIfTrue="1" operator="between">
      <formula>0</formula>
      <formula>5</formula>
    </cfRule>
    <cfRule type="containsBlanks" dxfId="11546" priority="1488" stopIfTrue="1">
      <formula>LEN(TRIM(E140))=0</formula>
    </cfRule>
  </conditionalFormatting>
  <conditionalFormatting sqref="F141:P141">
    <cfRule type="containsBlanks" dxfId="11545" priority="1475" stopIfTrue="1">
      <formula>LEN(TRIM(F141))=0</formula>
    </cfRule>
    <cfRule type="cellIs" dxfId="11544" priority="1476" stopIfTrue="1" operator="between">
      <formula>80.1</formula>
      <formula>100</formula>
    </cfRule>
    <cfRule type="cellIs" dxfId="11543" priority="1477" stopIfTrue="1" operator="between">
      <formula>35.1</formula>
      <formula>80</formula>
    </cfRule>
    <cfRule type="cellIs" dxfId="11542" priority="1478" stopIfTrue="1" operator="between">
      <formula>14.1</formula>
      <formula>35</formula>
    </cfRule>
    <cfRule type="cellIs" dxfId="11541" priority="1479" stopIfTrue="1" operator="between">
      <formula>5.1</formula>
      <formula>14</formula>
    </cfRule>
    <cfRule type="cellIs" dxfId="11540" priority="1480" stopIfTrue="1" operator="between">
      <formula>0</formula>
      <formula>5</formula>
    </cfRule>
    <cfRule type="containsBlanks" dxfId="11539" priority="1481" stopIfTrue="1">
      <formula>LEN(TRIM(F141))=0</formula>
    </cfRule>
  </conditionalFormatting>
  <conditionalFormatting sqref="E141">
    <cfRule type="containsBlanks" dxfId="11538" priority="1468" stopIfTrue="1">
      <formula>LEN(TRIM(E141))=0</formula>
    </cfRule>
    <cfRule type="cellIs" dxfId="11537" priority="1469" stopIfTrue="1" operator="between">
      <formula>80.1</formula>
      <formula>100</formula>
    </cfRule>
    <cfRule type="cellIs" dxfId="11536" priority="1470" stopIfTrue="1" operator="between">
      <formula>35.1</formula>
      <formula>80</formula>
    </cfRule>
    <cfRule type="cellIs" dxfId="11535" priority="1471" stopIfTrue="1" operator="between">
      <formula>14.1</formula>
      <formula>35</formula>
    </cfRule>
    <cfRule type="cellIs" dxfId="11534" priority="1472" stopIfTrue="1" operator="between">
      <formula>5.1</formula>
      <formula>14</formula>
    </cfRule>
    <cfRule type="cellIs" dxfId="11533" priority="1473" stopIfTrue="1" operator="between">
      <formula>0</formula>
      <formula>5</formula>
    </cfRule>
    <cfRule type="containsBlanks" dxfId="11532" priority="1474" stopIfTrue="1">
      <formula>LEN(TRIM(E141))=0</formula>
    </cfRule>
  </conditionalFormatting>
  <conditionalFormatting sqref="F143:P143">
    <cfRule type="containsBlanks" dxfId="11531" priority="1461" stopIfTrue="1">
      <formula>LEN(TRIM(F143))=0</formula>
    </cfRule>
    <cfRule type="cellIs" dxfId="11530" priority="1462" stopIfTrue="1" operator="between">
      <formula>80.1</formula>
      <formula>100</formula>
    </cfRule>
    <cfRule type="cellIs" dxfId="11529" priority="1463" stopIfTrue="1" operator="between">
      <formula>35.1</formula>
      <formula>80</formula>
    </cfRule>
    <cfRule type="cellIs" dxfId="11528" priority="1464" stopIfTrue="1" operator="between">
      <formula>14.1</formula>
      <formula>35</formula>
    </cfRule>
    <cfRule type="cellIs" dxfId="11527" priority="1465" stopIfTrue="1" operator="between">
      <formula>5.1</formula>
      <formula>14</formula>
    </cfRule>
    <cfRule type="cellIs" dxfId="11526" priority="1466" stopIfTrue="1" operator="between">
      <formula>0</formula>
      <formula>5</formula>
    </cfRule>
    <cfRule type="containsBlanks" dxfId="11525" priority="1467" stopIfTrue="1">
      <formula>LEN(TRIM(F143))=0</formula>
    </cfRule>
  </conditionalFormatting>
  <conditionalFormatting sqref="E143">
    <cfRule type="containsBlanks" dxfId="11524" priority="1454" stopIfTrue="1">
      <formula>LEN(TRIM(E143))=0</formula>
    </cfRule>
    <cfRule type="cellIs" dxfId="11523" priority="1455" stopIfTrue="1" operator="between">
      <formula>80.1</formula>
      <formula>100</formula>
    </cfRule>
    <cfRule type="cellIs" dxfId="11522" priority="1456" stopIfTrue="1" operator="between">
      <formula>35.1</formula>
      <formula>80</formula>
    </cfRule>
    <cfRule type="cellIs" dxfId="11521" priority="1457" stopIfTrue="1" operator="between">
      <formula>14.1</formula>
      <formula>35</formula>
    </cfRule>
    <cfRule type="cellIs" dxfId="11520" priority="1458" stopIfTrue="1" operator="between">
      <formula>5.1</formula>
      <formula>14</formula>
    </cfRule>
    <cfRule type="cellIs" dxfId="11519" priority="1459" stopIfTrue="1" operator="between">
      <formula>0</formula>
      <formula>5</formula>
    </cfRule>
    <cfRule type="containsBlanks" dxfId="11518" priority="1460" stopIfTrue="1">
      <formula>LEN(TRIM(E143))=0</formula>
    </cfRule>
  </conditionalFormatting>
  <conditionalFormatting sqref="F142:P142">
    <cfRule type="containsBlanks" dxfId="11517" priority="1447" stopIfTrue="1">
      <formula>LEN(TRIM(F142))=0</formula>
    </cfRule>
    <cfRule type="cellIs" dxfId="11516" priority="1448" stopIfTrue="1" operator="between">
      <formula>80.1</formula>
      <formula>100</formula>
    </cfRule>
    <cfRule type="cellIs" dxfId="11515" priority="1449" stopIfTrue="1" operator="between">
      <formula>35.1</formula>
      <formula>80</formula>
    </cfRule>
    <cfRule type="cellIs" dxfId="11514" priority="1450" stopIfTrue="1" operator="between">
      <formula>14.1</formula>
      <formula>35</formula>
    </cfRule>
    <cfRule type="cellIs" dxfId="11513" priority="1451" stopIfTrue="1" operator="between">
      <formula>5.1</formula>
      <formula>14</formula>
    </cfRule>
    <cfRule type="cellIs" dxfId="11512" priority="1452" stopIfTrue="1" operator="between">
      <formula>0</formula>
      <formula>5</formula>
    </cfRule>
    <cfRule type="containsBlanks" dxfId="11511" priority="1453" stopIfTrue="1">
      <formula>LEN(TRIM(F142))=0</formula>
    </cfRule>
  </conditionalFormatting>
  <conditionalFormatting sqref="E142">
    <cfRule type="containsBlanks" dxfId="11510" priority="1440" stopIfTrue="1">
      <formula>LEN(TRIM(E142))=0</formula>
    </cfRule>
    <cfRule type="cellIs" dxfId="11509" priority="1441" stopIfTrue="1" operator="between">
      <formula>80.1</formula>
      <formula>100</formula>
    </cfRule>
    <cfRule type="cellIs" dxfId="11508" priority="1442" stopIfTrue="1" operator="between">
      <formula>35.1</formula>
      <formula>80</formula>
    </cfRule>
    <cfRule type="cellIs" dxfId="11507" priority="1443" stopIfTrue="1" operator="between">
      <formula>14.1</formula>
      <formula>35</formula>
    </cfRule>
    <cfRule type="cellIs" dxfId="11506" priority="1444" stopIfTrue="1" operator="between">
      <formula>5.1</formula>
      <formula>14</formula>
    </cfRule>
    <cfRule type="cellIs" dxfId="11505" priority="1445" stopIfTrue="1" operator="between">
      <formula>0</formula>
      <formula>5</formula>
    </cfRule>
    <cfRule type="containsBlanks" dxfId="11504" priority="1446" stopIfTrue="1">
      <formula>LEN(TRIM(E142))=0</formula>
    </cfRule>
  </conditionalFormatting>
  <conditionalFormatting sqref="E56:P57">
    <cfRule type="containsBlanks" dxfId="11503" priority="1377" stopIfTrue="1">
      <formula>LEN(TRIM(E56))=0</formula>
    </cfRule>
    <cfRule type="cellIs" dxfId="11502" priority="1378" stopIfTrue="1" operator="between">
      <formula>79.1</formula>
      <formula>100</formula>
    </cfRule>
    <cfRule type="cellIs" dxfId="11501" priority="1379" stopIfTrue="1" operator="between">
      <formula>34.1</formula>
      <formula>79</formula>
    </cfRule>
    <cfRule type="cellIs" dxfId="11500" priority="1380" stopIfTrue="1" operator="between">
      <formula>13.1</formula>
      <formula>34</formula>
    </cfRule>
    <cfRule type="cellIs" dxfId="11499" priority="1381" stopIfTrue="1" operator="between">
      <formula>5.1</formula>
      <formula>13</formula>
    </cfRule>
    <cfRule type="cellIs" dxfId="11498" priority="1382" stopIfTrue="1" operator="between">
      <formula>0</formula>
      <formula>5</formula>
    </cfRule>
    <cfRule type="containsBlanks" dxfId="11497" priority="1383" stopIfTrue="1">
      <formula>LEN(TRIM(E56))=0</formula>
    </cfRule>
  </conditionalFormatting>
  <conditionalFormatting sqref="E59:P59">
    <cfRule type="containsBlanks" dxfId="11496" priority="1370" stopIfTrue="1">
      <formula>LEN(TRIM(E59))=0</formula>
    </cfRule>
    <cfRule type="cellIs" dxfId="11495" priority="1371" stopIfTrue="1" operator="between">
      <formula>79.1</formula>
      <formula>100</formula>
    </cfRule>
    <cfRule type="cellIs" dxfId="11494" priority="1372" stopIfTrue="1" operator="between">
      <formula>34.1</formula>
      <formula>79</formula>
    </cfRule>
    <cfRule type="cellIs" dxfId="11493" priority="1373" stopIfTrue="1" operator="between">
      <formula>13.1</formula>
      <formula>34</formula>
    </cfRule>
    <cfRule type="cellIs" dxfId="11492" priority="1374" stopIfTrue="1" operator="between">
      <formula>5.1</formula>
      <formula>13</formula>
    </cfRule>
    <cfRule type="cellIs" dxfId="11491" priority="1375" stopIfTrue="1" operator="between">
      <formula>0</formula>
      <formula>5</formula>
    </cfRule>
    <cfRule type="containsBlanks" dxfId="11490" priority="1376" stopIfTrue="1">
      <formula>LEN(TRIM(E59))=0</formula>
    </cfRule>
  </conditionalFormatting>
  <conditionalFormatting sqref="N310">
    <cfRule type="containsBlanks" dxfId="11489" priority="1300" stopIfTrue="1">
      <formula>LEN(TRIM(N310))=0</formula>
    </cfRule>
    <cfRule type="cellIs" dxfId="11488" priority="1301" stopIfTrue="1" operator="between">
      <formula>79.1</formula>
      <formula>100</formula>
    </cfRule>
    <cfRule type="cellIs" dxfId="11487" priority="1302" stopIfTrue="1" operator="between">
      <formula>34.1</formula>
      <formula>79</formula>
    </cfRule>
    <cfRule type="cellIs" dxfId="11486" priority="1303" stopIfTrue="1" operator="between">
      <formula>13.1</formula>
      <formula>34</formula>
    </cfRule>
    <cfRule type="cellIs" dxfId="11485" priority="1304" stopIfTrue="1" operator="between">
      <formula>5.1</formula>
      <formula>13</formula>
    </cfRule>
    <cfRule type="cellIs" dxfId="11484" priority="1305" stopIfTrue="1" operator="between">
      <formula>0</formula>
      <formula>5</formula>
    </cfRule>
    <cfRule type="containsBlanks" dxfId="11483" priority="1306" stopIfTrue="1">
      <formula>LEN(TRIM(N310))=0</formula>
    </cfRule>
  </conditionalFormatting>
  <conditionalFormatting sqref="E323 E296:P296 M297:P297 E297:K297 E305:H305 E308:H308 E314:H315 E316:I316 E317:G318 I317:J318 E309:F310 O310:P310 G310:M310 K316:P318 E319:P322 H309:P309 J305:P305 G323:P323 J314:P315 J308:P308 E306:P307 E298:P304 E324:P325 E311:P313">
    <cfRule type="containsBlanks" dxfId="11482" priority="1342" stopIfTrue="1">
      <formula>LEN(TRIM(E296))=0</formula>
    </cfRule>
    <cfRule type="cellIs" dxfId="11481" priority="1343" stopIfTrue="1" operator="between">
      <formula>79.1</formula>
      <formula>100</formula>
    </cfRule>
    <cfRule type="cellIs" dxfId="11480" priority="1344" stopIfTrue="1" operator="between">
      <formula>34.1</formula>
      <formula>79</formula>
    </cfRule>
    <cfRule type="cellIs" dxfId="11479" priority="1345" stopIfTrue="1" operator="between">
      <formula>13.1</formula>
      <formula>34</formula>
    </cfRule>
    <cfRule type="cellIs" dxfId="11478" priority="1346" stopIfTrue="1" operator="between">
      <formula>5.1</formula>
      <formula>13</formula>
    </cfRule>
    <cfRule type="cellIs" dxfId="11477" priority="1347" stopIfTrue="1" operator="between">
      <formula>0</formula>
      <formula>5</formula>
    </cfRule>
    <cfRule type="containsBlanks" dxfId="11476" priority="1348" stopIfTrue="1">
      <formula>LEN(TRIM(E296))=0</formula>
    </cfRule>
  </conditionalFormatting>
  <conditionalFormatting sqref="J316">
    <cfRule type="containsBlanks" dxfId="11475" priority="1335" stopIfTrue="1">
      <formula>LEN(TRIM(J316))=0</formula>
    </cfRule>
    <cfRule type="cellIs" dxfId="11474" priority="1336" stopIfTrue="1" operator="between">
      <formula>79.1</formula>
      <formula>100</formula>
    </cfRule>
    <cfRule type="cellIs" dxfId="11473" priority="1337" stopIfTrue="1" operator="between">
      <formula>34.1</formula>
      <formula>79</formula>
    </cfRule>
    <cfRule type="cellIs" dxfId="11472" priority="1338" stopIfTrue="1" operator="between">
      <formula>13.1</formula>
      <formula>34</formula>
    </cfRule>
    <cfRule type="cellIs" dxfId="11471" priority="1339" stopIfTrue="1" operator="between">
      <formula>5.1</formula>
      <formula>13</formula>
    </cfRule>
    <cfRule type="cellIs" dxfId="11470" priority="1340" stopIfTrue="1" operator="between">
      <formula>0</formula>
      <formula>5</formula>
    </cfRule>
    <cfRule type="containsBlanks" dxfId="11469" priority="1341" stopIfTrue="1">
      <formula>LEN(TRIM(J316))=0</formula>
    </cfRule>
  </conditionalFormatting>
  <conditionalFormatting sqref="I314">
    <cfRule type="containsBlanks" dxfId="11468" priority="1328" stopIfTrue="1">
      <formula>LEN(TRIM(I314))=0</formula>
    </cfRule>
    <cfRule type="cellIs" dxfId="11467" priority="1329" stopIfTrue="1" operator="between">
      <formula>79.1</formula>
      <formula>100</formula>
    </cfRule>
    <cfRule type="cellIs" dxfId="11466" priority="1330" stopIfTrue="1" operator="between">
      <formula>34.1</formula>
      <formula>79</formula>
    </cfRule>
    <cfRule type="cellIs" dxfId="11465" priority="1331" stopIfTrue="1" operator="between">
      <formula>13.1</formula>
      <formula>34</formula>
    </cfRule>
    <cfRule type="cellIs" dxfId="11464" priority="1332" stopIfTrue="1" operator="between">
      <formula>5.1</formula>
      <formula>13</formula>
    </cfRule>
    <cfRule type="cellIs" dxfId="11463" priority="1333" stopIfTrue="1" operator="between">
      <formula>0</formula>
      <formula>5</formula>
    </cfRule>
    <cfRule type="containsBlanks" dxfId="11462" priority="1334" stopIfTrue="1">
      <formula>LEN(TRIM(I314))=0</formula>
    </cfRule>
  </conditionalFormatting>
  <conditionalFormatting sqref="H317">
    <cfRule type="containsBlanks" dxfId="11461" priority="1321" stopIfTrue="1">
      <formula>LEN(TRIM(H317))=0</formula>
    </cfRule>
    <cfRule type="cellIs" dxfId="11460" priority="1322" stopIfTrue="1" operator="between">
      <formula>79.1</formula>
      <formula>100</formula>
    </cfRule>
    <cfRule type="cellIs" dxfId="11459" priority="1323" stopIfTrue="1" operator="between">
      <formula>34.1</formula>
      <formula>79</formula>
    </cfRule>
    <cfRule type="cellIs" dxfId="11458" priority="1324" stopIfTrue="1" operator="between">
      <formula>13.1</formula>
      <formula>34</formula>
    </cfRule>
    <cfRule type="cellIs" dxfId="11457" priority="1325" stopIfTrue="1" operator="between">
      <formula>5.1</formula>
      <formula>13</formula>
    </cfRule>
    <cfRule type="cellIs" dxfId="11456" priority="1326" stopIfTrue="1" operator="between">
      <formula>0</formula>
      <formula>5</formula>
    </cfRule>
    <cfRule type="containsBlanks" dxfId="11455" priority="1327" stopIfTrue="1">
      <formula>LEN(TRIM(H317))=0</formula>
    </cfRule>
  </conditionalFormatting>
  <conditionalFormatting sqref="I305">
    <cfRule type="containsBlanks" dxfId="11454" priority="1314" stopIfTrue="1">
      <formula>LEN(TRIM(I305))=0</formula>
    </cfRule>
    <cfRule type="cellIs" dxfId="11453" priority="1315" stopIfTrue="1" operator="between">
      <formula>79.1</formula>
      <formula>100</formula>
    </cfRule>
    <cfRule type="cellIs" dxfId="11452" priority="1316" stopIfTrue="1" operator="between">
      <formula>34.1</formula>
      <formula>79</formula>
    </cfRule>
    <cfRule type="cellIs" dxfId="11451" priority="1317" stopIfTrue="1" operator="between">
      <formula>13.1</formula>
      <formula>34</formula>
    </cfRule>
    <cfRule type="cellIs" dxfId="11450" priority="1318" stopIfTrue="1" operator="between">
      <formula>5.1</formula>
      <formula>13</formula>
    </cfRule>
    <cfRule type="cellIs" dxfId="11449" priority="1319" stopIfTrue="1" operator="between">
      <formula>0</formula>
      <formula>5</formula>
    </cfRule>
    <cfRule type="containsBlanks" dxfId="11448" priority="1320" stopIfTrue="1">
      <formula>LEN(TRIM(I305))=0</formula>
    </cfRule>
  </conditionalFormatting>
  <conditionalFormatting sqref="L297">
    <cfRule type="containsBlanks" dxfId="11447" priority="1307" stopIfTrue="1">
      <formula>LEN(TRIM(L297))=0</formula>
    </cfRule>
    <cfRule type="cellIs" dxfId="11446" priority="1308" stopIfTrue="1" operator="between">
      <formula>79.1</formula>
      <formula>100</formula>
    </cfRule>
    <cfRule type="cellIs" dxfId="11445" priority="1309" stopIfTrue="1" operator="between">
      <formula>34.1</formula>
      <formula>79</formula>
    </cfRule>
    <cfRule type="cellIs" dxfId="11444" priority="1310" stopIfTrue="1" operator="between">
      <formula>13.1</formula>
      <formula>34</formula>
    </cfRule>
    <cfRule type="cellIs" dxfId="11443" priority="1311" stopIfTrue="1" operator="between">
      <formula>5.1</formula>
      <formula>13</formula>
    </cfRule>
    <cfRule type="cellIs" dxfId="11442" priority="1312" stopIfTrue="1" operator="between">
      <formula>0</formula>
      <formula>5</formula>
    </cfRule>
    <cfRule type="containsBlanks" dxfId="11441" priority="1313" stopIfTrue="1">
      <formula>LEN(TRIM(L297))=0</formula>
    </cfRule>
  </conditionalFormatting>
  <conditionalFormatting sqref="E241 I241:N241">
    <cfRule type="containsBlanks" dxfId="11440" priority="698" stopIfTrue="1">
      <formula>LEN(TRIM(E241))=0</formula>
    </cfRule>
    <cfRule type="cellIs" dxfId="11439" priority="699" stopIfTrue="1" operator="between">
      <formula>80.1</formula>
      <formula>100</formula>
    </cfRule>
    <cfRule type="cellIs" dxfId="11438" priority="700" stopIfTrue="1" operator="between">
      <formula>35.1</formula>
      <formula>80</formula>
    </cfRule>
    <cfRule type="cellIs" dxfId="11437" priority="701" stopIfTrue="1" operator="between">
      <formula>14.1</formula>
      <formula>35</formula>
    </cfRule>
    <cfRule type="cellIs" dxfId="11436" priority="702" stopIfTrue="1" operator="between">
      <formula>5.1</formula>
      <formula>14</formula>
    </cfRule>
    <cfRule type="cellIs" dxfId="11435" priority="703" stopIfTrue="1" operator="between">
      <formula>0</formula>
      <formula>5</formula>
    </cfRule>
    <cfRule type="containsBlanks" dxfId="11434" priority="704" stopIfTrue="1">
      <formula>LEN(TRIM(E241))=0</formula>
    </cfRule>
  </conditionalFormatting>
  <conditionalFormatting sqref="F241:H241">
    <cfRule type="containsBlanks" dxfId="11433" priority="691" stopIfTrue="1">
      <formula>LEN(TRIM(F241))=0</formula>
    </cfRule>
    <cfRule type="cellIs" dxfId="11432" priority="692" stopIfTrue="1" operator="between">
      <formula>80.1</formula>
      <formula>100</formula>
    </cfRule>
    <cfRule type="cellIs" dxfId="11431" priority="693" stopIfTrue="1" operator="between">
      <formula>35.1</formula>
      <formula>80</formula>
    </cfRule>
    <cfRule type="cellIs" dxfId="11430" priority="694" stopIfTrue="1" operator="between">
      <formula>14.1</formula>
      <formula>35</formula>
    </cfRule>
    <cfRule type="cellIs" dxfId="11429" priority="695" stopIfTrue="1" operator="between">
      <formula>5.1</formula>
      <formula>14</formula>
    </cfRule>
    <cfRule type="cellIs" dxfId="11428" priority="696" stopIfTrue="1" operator="between">
      <formula>0</formula>
      <formula>5</formula>
    </cfRule>
    <cfRule type="containsBlanks" dxfId="11427" priority="697" stopIfTrue="1">
      <formula>LEN(TRIM(F241))=0</formula>
    </cfRule>
  </conditionalFormatting>
  <conditionalFormatting sqref="E242 I242:P242">
    <cfRule type="containsBlanks" dxfId="11426" priority="684" stopIfTrue="1">
      <formula>LEN(TRIM(E242))=0</formula>
    </cfRule>
    <cfRule type="cellIs" dxfId="11425" priority="685" stopIfTrue="1" operator="between">
      <formula>80.1</formula>
      <formula>100</formula>
    </cfRule>
    <cfRule type="cellIs" dxfId="11424" priority="686" stopIfTrue="1" operator="between">
      <formula>35.1</formula>
      <formula>80</formula>
    </cfRule>
    <cfRule type="cellIs" dxfId="11423" priority="687" stopIfTrue="1" operator="between">
      <formula>14.1</formula>
      <formula>35</formula>
    </cfRule>
    <cfRule type="cellIs" dxfId="11422" priority="688" stopIfTrue="1" operator="between">
      <formula>5.1</formula>
      <formula>14</formula>
    </cfRule>
    <cfRule type="cellIs" dxfId="11421" priority="689" stopIfTrue="1" operator="between">
      <formula>0</formula>
      <formula>5</formula>
    </cfRule>
    <cfRule type="containsBlanks" dxfId="11420" priority="690" stopIfTrue="1">
      <formula>LEN(TRIM(E242))=0</formula>
    </cfRule>
  </conditionalFormatting>
  <conditionalFormatting sqref="F242:H242">
    <cfRule type="containsBlanks" dxfId="11419" priority="677" stopIfTrue="1">
      <formula>LEN(TRIM(F242))=0</formula>
    </cfRule>
    <cfRule type="cellIs" dxfId="11418" priority="678" stopIfTrue="1" operator="between">
      <formula>80.1</formula>
      <formula>100</formula>
    </cfRule>
    <cfRule type="cellIs" dxfId="11417" priority="679" stopIfTrue="1" operator="between">
      <formula>35.1</formula>
      <formula>80</formula>
    </cfRule>
    <cfRule type="cellIs" dxfId="11416" priority="680" stopIfTrue="1" operator="between">
      <formula>14.1</formula>
      <formula>35</formula>
    </cfRule>
    <cfRule type="cellIs" dxfId="11415" priority="681" stopIfTrue="1" operator="between">
      <formula>5.1</formula>
      <formula>14</formula>
    </cfRule>
    <cfRule type="cellIs" dxfId="11414" priority="682" stopIfTrue="1" operator="between">
      <formula>0</formula>
      <formula>5</formula>
    </cfRule>
    <cfRule type="containsBlanks" dxfId="11413" priority="683" stopIfTrue="1">
      <formula>LEN(TRIM(F242))=0</formula>
    </cfRule>
  </conditionalFormatting>
  <conditionalFormatting sqref="E243:L243">
    <cfRule type="containsBlanks" dxfId="11412" priority="670" stopIfTrue="1">
      <formula>LEN(TRIM(E243))=0</formula>
    </cfRule>
    <cfRule type="cellIs" dxfId="11411" priority="671" stopIfTrue="1" operator="between">
      <formula>80.1</formula>
      <formula>100</formula>
    </cfRule>
    <cfRule type="cellIs" dxfId="11410" priority="672" stopIfTrue="1" operator="between">
      <formula>35.1</formula>
      <formula>80</formula>
    </cfRule>
    <cfRule type="cellIs" dxfId="11409" priority="673" stopIfTrue="1" operator="between">
      <formula>14.1</formula>
      <formula>35</formula>
    </cfRule>
    <cfRule type="cellIs" dxfId="11408" priority="674" stopIfTrue="1" operator="between">
      <formula>5.1</formula>
      <formula>14</formula>
    </cfRule>
    <cfRule type="cellIs" dxfId="11407" priority="675" stopIfTrue="1" operator="between">
      <formula>0</formula>
      <formula>5</formula>
    </cfRule>
    <cfRule type="containsBlanks" dxfId="11406" priority="676" stopIfTrue="1">
      <formula>LEN(TRIM(E243))=0</formula>
    </cfRule>
  </conditionalFormatting>
  <conditionalFormatting sqref="R35:R43 R162:R266 R270:R326 R89:R160">
    <cfRule type="cellIs" dxfId="11405" priority="641" stopIfTrue="1" operator="equal">
      <formula>"NO"</formula>
    </cfRule>
  </conditionalFormatting>
  <conditionalFormatting sqref="S270:S326 S11:S266">
    <cfRule type="cellIs" dxfId="11404" priority="640" stopIfTrue="1" operator="equal">
      <formula>"INVIABLE SANITARIAMENTE"</formula>
    </cfRule>
  </conditionalFormatting>
  <conditionalFormatting sqref="S265:S266 S270:S326">
    <cfRule type="containsText" dxfId="11403" priority="635" stopIfTrue="1" operator="containsText" text="INVIABLE SANITARIAMENTE">
      <formula>NOT(ISERROR(SEARCH("INVIABLE SANITARIAMENTE",S265)))</formula>
    </cfRule>
    <cfRule type="containsText" dxfId="11402" priority="636" stopIfTrue="1" operator="containsText" text="ALTO">
      <formula>NOT(ISERROR(SEARCH("ALTO",S265)))</formula>
    </cfRule>
    <cfRule type="containsText" dxfId="11401" priority="637" stopIfTrue="1" operator="containsText" text="MEDIO">
      <formula>NOT(ISERROR(SEARCH("MEDIO",S265)))</formula>
    </cfRule>
    <cfRule type="containsText" dxfId="11400" priority="638" stopIfTrue="1" operator="containsText" text="BAJO">
      <formula>NOT(ISERROR(SEARCH("BAJO",S265)))</formula>
    </cfRule>
    <cfRule type="containsText" dxfId="11399" priority="639" stopIfTrue="1" operator="containsText" text="SIN RIESGO">
      <formula>NOT(ISERROR(SEARCH("SIN RIESGO",S265)))</formula>
    </cfRule>
  </conditionalFormatting>
  <conditionalFormatting sqref="S270:S326 S11:S266">
    <cfRule type="containsText" dxfId="11398" priority="634" stopIfTrue="1" operator="containsText" text="SIN RIESGO">
      <formula>NOT(ISERROR(SEARCH("SIN RIESGO",S11)))</formula>
    </cfRule>
  </conditionalFormatting>
  <conditionalFormatting sqref="Q56:Q66">
    <cfRule type="containsBlanks" dxfId="11397" priority="612" stopIfTrue="1">
      <formula>LEN(TRIM(Q56))=0</formula>
    </cfRule>
    <cfRule type="cellIs" dxfId="11396" priority="613" stopIfTrue="1" operator="between">
      <formula>80.1</formula>
      <formula>100</formula>
    </cfRule>
    <cfRule type="cellIs" dxfId="11395" priority="614" stopIfTrue="1" operator="between">
      <formula>35.1</formula>
      <formula>80</formula>
    </cfRule>
    <cfRule type="cellIs" dxfId="11394" priority="615" stopIfTrue="1" operator="between">
      <formula>14.1</formula>
      <formula>35</formula>
    </cfRule>
    <cfRule type="cellIs" dxfId="11393" priority="616" stopIfTrue="1" operator="between">
      <formula>5.1</formula>
      <formula>14</formula>
    </cfRule>
    <cfRule type="cellIs" dxfId="11392" priority="617" stopIfTrue="1" operator="between">
      <formula>0</formula>
      <formula>5</formula>
    </cfRule>
    <cfRule type="containsBlanks" dxfId="11391" priority="618" stopIfTrue="1">
      <formula>LEN(TRIM(Q56))=0</formula>
    </cfRule>
  </conditionalFormatting>
  <conditionalFormatting sqref="R56:R66">
    <cfRule type="cellIs" dxfId="11390" priority="611" stopIfTrue="1" operator="equal">
      <formula>"NO"</formula>
    </cfRule>
  </conditionalFormatting>
  <conditionalFormatting sqref="R11:R34">
    <cfRule type="cellIs" dxfId="11389" priority="603" stopIfTrue="1" operator="equal">
      <formula>"NO"</formula>
    </cfRule>
  </conditionalFormatting>
  <conditionalFormatting sqref="Q11:Q34">
    <cfRule type="containsBlanks" dxfId="11388" priority="595" stopIfTrue="1">
      <formula>LEN(TRIM(Q11))=0</formula>
    </cfRule>
    <cfRule type="cellIs" dxfId="11387" priority="596" stopIfTrue="1" operator="between">
      <formula>80.1</formula>
      <formula>100</formula>
    </cfRule>
    <cfRule type="cellIs" dxfId="11386" priority="597" stopIfTrue="1" operator="between">
      <formula>35.1</formula>
      <formula>80</formula>
    </cfRule>
    <cfRule type="cellIs" dxfId="11385" priority="598" stopIfTrue="1" operator="between">
      <formula>14.1</formula>
      <formula>35</formula>
    </cfRule>
    <cfRule type="cellIs" dxfId="11384" priority="599" stopIfTrue="1" operator="between">
      <formula>5.1</formula>
      <formula>14</formula>
    </cfRule>
    <cfRule type="cellIs" dxfId="11383" priority="600" stopIfTrue="1" operator="between">
      <formula>0</formula>
      <formula>5</formula>
    </cfRule>
    <cfRule type="containsBlanks" dxfId="11382" priority="601" stopIfTrue="1">
      <formula>LEN(TRIM(Q11))=0</formula>
    </cfRule>
  </conditionalFormatting>
  <conditionalFormatting sqref="E37:Q37 O38:Q38 E38:M38 Q35:Q36">
    <cfRule type="containsBlanks" dxfId="11381" priority="573" stopIfTrue="1">
      <formula>LEN(TRIM(E35))=0</formula>
    </cfRule>
    <cfRule type="cellIs" dxfId="11380" priority="574" stopIfTrue="1" operator="between">
      <formula>80.1</formula>
      <formula>100</formula>
    </cfRule>
    <cfRule type="cellIs" dxfId="11379" priority="575" stopIfTrue="1" operator="between">
      <formula>35.1</formula>
      <formula>80</formula>
    </cfRule>
    <cfRule type="cellIs" dxfId="11378" priority="576" stopIfTrue="1" operator="between">
      <formula>14.1</formula>
      <formula>35</formula>
    </cfRule>
    <cfRule type="cellIs" dxfId="11377" priority="577" stopIfTrue="1" operator="between">
      <formula>5.1</formula>
      <formula>14</formula>
    </cfRule>
    <cfRule type="cellIs" dxfId="11376" priority="578" stopIfTrue="1" operator="between">
      <formula>0</formula>
      <formula>5</formula>
    </cfRule>
    <cfRule type="containsBlanks" dxfId="11375" priority="579" stopIfTrue="1">
      <formula>LEN(TRIM(E35))=0</formula>
    </cfRule>
  </conditionalFormatting>
  <conditionalFormatting sqref="R44:R55">
    <cfRule type="cellIs" dxfId="11374" priority="566" stopIfTrue="1" operator="equal">
      <formula>"NO"</formula>
    </cfRule>
  </conditionalFormatting>
  <conditionalFormatting sqref="Q44:Q55">
    <cfRule type="containsBlanks" dxfId="11373" priority="558" stopIfTrue="1">
      <formula>LEN(TRIM(Q44))=0</formula>
    </cfRule>
    <cfRule type="cellIs" dxfId="11372" priority="559" stopIfTrue="1" operator="between">
      <formula>80.1</formula>
      <formula>100</formula>
    </cfRule>
    <cfRule type="cellIs" dxfId="11371" priority="560" stopIfTrue="1" operator="between">
      <formula>35.1</formula>
      <formula>80</formula>
    </cfRule>
    <cfRule type="cellIs" dxfId="11370" priority="561" stopIfTrue="1" operator="between">
      <formula>14.1</formula>
      <formula>35</formula>
    </cfRule>
    <cfRule type="cellIs" dxfId="11369" priority="562" stopIfTrue="1" operator="between">
      <formula>5.1</formula>
      <formula>14</formula>
    </cfRule>
    <cfRule type="cellIs" dxfId="11368" priority="563" stopIfTrue="1" operator="between">
      <formula>0</formula>
      <formula>5</formula>
    </cfRule>
    <cfRule type="containsBlanks" dxfId="11367" priority="564" stopIfTrue="1">
      <formula>LEN(TRIM(Q44))=0</formula>
    </cfRule>
  </conditionalFormatting>
  <conditionalFormatting sqref="R67:R72">
    <cfRule type="cellIs" dxfId="11366" priority="537" stopIfTrue="1" operator="equal">
      <formula>"NO"</formula>
    </cfRule>
  </conditionalFormatting>
  <conditionalFormatting sqref="E71:Q72 Q67:Q70">
    <cfRule type="containsBlanks" dxfId="11365" priority="529" stopIfTrue="1">
      <formula>LEN(TRIM(E67))=0</formula>
    </cfRule>
    <cfRule type="cellIs" dxfId="11364" priority="530" stopIfTrue="1" operator="between">
      <formula>80.1</formula>
      <formula>100</formula>
    </cfRule>
    <cfRule type="cellIs" dxfId="11363" priority="531" stopIfTrue="1" operator="between">
      <formula>35.1</formula>
      <formula>80</formula>
    </cfRule>
    <cfRule type="cellIs" dxfId="11362" priority="532" stopIfTrue="1" operator="between">
      <formula>14.1</formula>
      <formula>35</formula>
    </cfRule>
    <cfRule type="cellIs" dxfId="11361" priority="533" stopIfTrue="1" operator="between">
      <formula>5.1</formula>
      <formula>14</formula>
    </cfRule>
    <cfRule type="cellIs" dxfId="11360" priority="534" stopIfTrue="1" operator="between">
      <formula>0</formula>
      <formula>5</formula>
    </cfRule>
    <cfRule type="containsBlanks" dxfId="11359" priority="535" stopIfTrue="1">
      <formula>LEN(TRIM(E67))=0</formula>
    </cfRule>
  </conditionalFormatting>
  <conditionalFormatting sqref="R73:R77">
    <cfRule type="cellIs" dxfId="11358" priority="522" stopIfTrue="1" operator="equal">
      <formula>"NO"</formula>
    </cfRule>
  </conditionalFormatting>
  <conditionalFormatting sqref="Q73:Q77">
    <cfRule type="containsBlanks" dxfId="11357" priority="514" stopIfTrue="1">
      <formula>LEN(TRIM(Q73))=0</formula>
    </cfRule>
    <cfRule type="cellIs" dxfId="11356" priority="515" stopIfTrue="1" operator="between">
      <formula>80.1</formula>
      <formula>100</formula>
    </cfRule>
    <cfRule type="cellIs" dxfId="11355" priority="516" stopIfTrue="1" operator="between">
      <formula>35.1</formula>
      <formula>80</formula>
    </cfRule>
    <cfRule type="cellIs" dxfId="11354" priority="517" stopIfTrue="1" operator="between">
      <formula>14.1</formula>
      <formula>35</formula>
    </cfRule>
    <cfRule type="cellIs" dxfId="11353" priority="518" stopIfTrue="1" operator="between">
      <formula>5.1</formula>
      <formula>14</formula>
    </cfRule>
    <cfRule type="cellIs" dxfId="11352" priority="519" stopIfTrue="1" operator="between">
      <formula>0</formula>
      <formula>5</formula>
    </cfRule>
    <cfRule type="containsBlanks" dxfId="11351" priority="520" stopIfTrue="1">
      <formula>LEN(TRIM(Q73))=0</formula>
    </cfRule>
  </conditionalFormatting>
  <conditionalFormatting sqref="R78:R88">
    <cfRule type="cellIs" dxfId="11350" priority="507" stopIfTrue="1" operator="equal">
      <formula>"NO"</formula>
    </cfRule>
  </conditionalFormatting>
  <conditionalFormatting sqref="Q78:Q88">
    <cfRule type="containsBlanks" dxfId="11349" priority="499" stopIfTrue="1">
      <formula>LEN(TRIM(Q78))=0</formula>
    </cfRule>
    <cfRule type="cellIs" dxfId="11348" priority="500" stopIfTrue="1" operator="between">
      <formula>80.1</formula>
      <formula>100</formula>
    </cfRule>
    <cfRule type="cellIs" dxfId="11347" priority="501" stopIfTrue="1" operator="between">
      <formula>35.1</formula>
      <formula>80</formula>
    </cfRule>
    <cfRule type="cellIs" dxfId="11346" priority="502" stopIfTrue="1" operator="between">
      <formula>14.1</formula>
      <formula>35</formula>
    </cfRule>
    <cfRule type="cellIs" dxfId="11345" priority="503" stopIfTrue="1" operator="between">
      <formula>5.1</formula>
      <formula>14</formula>
    </cfRule>
    <cfRule type="cellIs" dxfId="11344" priority="504" stopIfTrue="1" operator="between">
      <formula>0</formula>
      <formula>5</formula>
    </cfRule>
    <cfRule type="containsBlanks" dxfId="11343" priority="505" stopIfTrue="1">
      <formula>LEN(TRIM(Q78))=0</formula>
    </cfRule>
  </conditionalFormatting>
  <conditionalFormatting sqref="E161:P161">
    <cfRule type="containsBlanks" dxfId="11342" priority="486" stopIfTrue="1">
      <formula>LEN(TRIM(E161))=0</formula>
    </cfRule>
    <cfRule type="cellIs" dxfId="11341" priority="487" stopIfTrue="1" operator="between">
      <formula>79.1</formula>
      <formula>100</formula>
    </cfRule>
    <cfRule type="cellIs" dxfId="11340" priority="488" stopIfTrue="1" operator="between">
      <formula>34.1</formula>
      <formula>79</formula>
    </cfRule>
    <cfRule type="cellIs" dxfId="11339" priority="489" stopIfTrue="1" operator="between">
      <formula>13.1</formula>
      <formula>34</formula>
    </cfRule>
    <cfRule type="cellIs" dxfId="11338" priority="490" stopIfTrue="1" operator="between">
      <formula>5.1</formula>
      <formula>13</formula>
    </cfRule>
    <cfRule type="cellIs" dxfId="11337" priority="491" stopIfTrue="1" operator="between">
      <formula>0</formula>
      <formula>5</formula>
    </cfRule>
    <cfRule type="containsBlanks" dxfId="11336" priority="492" stopIfTrue="1">
      <formula>LEN(TRIM(E161))=0</formula>
    </cfRule>
  </conditionalFormatting>
  <conditionalFormatting sqref="Q161">
    <cfRule type="containsBlanks" dxfId="11335" priority="479" stopIfTrue="1">
      <formula>LEN(TRIM(Q161))=0</formula>
    </cfRule>
    <cfRule type="cellIs" dxfId="11334" priority="480" stopIfTrue="1" operator="between">
      <formula>80.1</formula>
      <formula>100</formula>
    </cfRule>
    <cfRule type="cellIs" dxfId="11333" priority="481" stopIfTrue="1" operator="between">
      <formula>35.1</formula>
      <formula>80</formula>
    </cfRule>
    <cfRule type="cellIs" dxfId="11332" priority="482" stopIfTrue="1" operator="between">
      <formula>14.1</formula>
      <formula>35</formula>
    </cfRule>
    <cfRule type="cellIs" dxfId="11331" priority="483" stopIfTrue="1" operator="between">
      <formula>5.1</formula>
      <formula>14</formula>
    </cfRule>
    <cfRule type="cellIs" dxfId="11330" priority="484" stopIfTrue="1" operator="between">
      <formula>0</formula>
      <formula>5</formula>
    </cfRule>
    <cfRule type="containsBlanks" dxfId="11329" priority="485" stopIfTrue="1">
      <formula>LEN(TRIM(Q161))=0</formula>
    </cfRule>
  </conditionalFormatting>
  <conditionalFormatting sqref="R161">
    <cfRule type="cellIs" dxfId="11328" priority="478" stopIfTrue="1" operator="equal">
      <formula>"NO"</formula>
    </cfRule>
  </conditionalFormatting>
  <conditionalFormatting sqref="S11:S264">
    <cfRule type="containsText" dxfId="11327" priority="465" stopIfTrue="1" operator="containsText" text="INVIABLE SANITARIAMENTE">
      <formula>NOT(ISERROR(SEARCH("INVIABLE SANITARIAMENTE",S11)))</formula>
    </cfRule>
    <cfRule type="containsText" dxfId="11326" priority="466" stopIfTrue="1" operator="containsText" text="ALTO">
      <formula>NOT(ISERROR(SEARCH("ALTO",S11)))</formula>
    </cfRule>
    <cfRule type="containsText" dxfId="11325" priority="467" stopIfTrue="1" operator="containsText" text="MEDIO">
      <formula>NOT(ISERROR(SEARCH("MEDIO",S11)))</formula>
    </cfRule>
    <cfRule type="containsText" dxfId="11324" priority="468" stopIfTrue="1" operator="containsText" text="BAJO">
      <formula>NOT(ISERROR(SEARCH("BAJO",S11)))</formula>
    </cfRule>
    <cfRule type="containsText" dxfId="11323" priority="469" stopIfTrue="1" operator="containsText" text="SIN RIESGO">
      <formula>NOT(ISERROR(SEARCH("SIN RIESGO",S11)))</formula>
    </cfRule>
  </conditionalFormatting>
  <conditionalFormatting sqref="E11:P27 H28:P28 E28:F28 E29:P34">
    <cfRule type="containsBlanks" dxfId="11322" priority="457" stopIfTrue="1">
      <formula>LEN(TRIM(E11))=0</formula>
    </cfRule>
    <cfRule type="cellIs" dxfId="11321" priority="458" stopIfTrue="1" operator="between">
      <formula>80.1</formula>
      <formula>100</formula>
    </cfRule>
    <cfRule type="cellIs" dxfId="11320" priority="459" stopIfTrue="1" operator="between">
      <formula>35.1</formula>
      <formula>80</formula>
    </cfRule>
    <cfRule type="cellIs" dxfId="11319" priority="460" stopIfTrue="1" operator="between">
      <formula>14.1</formula>
      <formula>35</formula>
    </cfRule>
    <cfRule type="cellIs" dxfId="11318" priority="461" stopIfTrue="1" operator="between">
      <formula>5.1</formula>
      <formula>14</formula>
    </cfRule>
    <cfRule type="cellIs" dxfId="11317" priority="462" stopIfTrue="1" operator="between">
      <formula>0</formula>
      <formula>5</formula>
    </cfRule>
    <cfRule type="containsBlanks" dxfId="11316" priority="463" stopIfTrue="1">
      <formula>LEN(TRIM(E11))=0</formula>
    </cfRule>
  </conditionalFormatting>
  <conditionalFormatting sqref="E35:P36">
    <cfRule type="containsBlanks" dxfId="11315" priority="450" stopIfTrue="1">
      <formula>LEN(TRIM(E35))=0</formula>
    </cfRule>
    <cfRule type="cellIs" dxfId="11314" priority="451" stopIfTrue="1" operator="between">
      <formula>80.1</formula>
      <formula>100</formula>
    </cfRule>
    <cfRule type="cellIs" dxfId="11313" priority="452" stopIfTrue="1" operator="between">
      <formula>35.1</formula>
      <formula>80</formula>
    </cfRule>
    <cfRule type="cellIs" dxfId="11312" priority="453" stopIfTrue="1" operator="between">
      <formula>14.1</formula>
      <formula>35</formula>
    </cfRule>
    <cfRule type="cellIs" dxfId="11311" priority="454" stopIfTrue="1" operator="between">
      <formula>5.1</formula>
      <formula>14</formula>
    </cfRule>
    <cfRule type="cellIs" dxfId="11310" priority="455" stopIfTrue="1" operator="between">
      <formula>0</formula>
      <formula>5</formula>
    </cfRule>
    <cfRule type="containsBlanks" dxfId="11309" priority="456" stopIfTrue="1">
      <formula>LEN(TRIM(E35))=0</formula>
    </cfRule>
  </conditionalFormatting>
  <conditionalFormatting sqref="E39:H39 J39:P39">
    <cfRule type="containsBlanks" dxfId="11308" priority="443" stopIfTrue="1">
      <formula>LEN(TRIM(E39))=0</formula>
    </cfRule>
    <cfRule type="cellIs" dxfId="11307" priority="444" stopIfTrue="1" operator="between">
      <formula>80.1</formula>
      <formula>100</formula>
    </cfRule>
    <cfRule type="cellIs" dxfId="11306" priority="445" stopIfTrue="1" operator="between">
      <formula>35.1</formula>
      <formula>80</formula>
    </cfRule>
    <cfRule type="cellIs" dxfId="11305" priority="446" stopIfTrue="1" operator="between">
      <formula>14.1</formula>
      <formula>35</formula>
    </cfRule>
    <cfRule type="cellIs" dxfId="11304" priority="447" stopIfTrue="1" operator="between">
      <formula>5.1</formula>
      <formula>14</formula>
    </cfRule>
    <cfRule type="cellIs" dxfId="11303" priority="448" stopIfTrue="1" operator="between">
      <formula>0</formula>
      <formula>5</formula>
    </cfRule>
    <cfRule type="containsBlanks" dxfId="11302" priority="449" stopIfTrue="1">
      <formula>LEN(TRIM(E39))=0</formula>
    </cfRule>
  </conditionalFormatting>
  <conditionalFormatting sqref="H44 I45 J44:P55">
    <cfRule type="containsBlanks" dxfId="11301" priority="436" stopIfTrue="1">
      <formula>LEN(TRIM(H44))=0</formula>
    </cfRule>
    <cfRule type="cellIs" dxfId="11300" priority="437" stopIfTrue="1" operator="between">
      <formula>80.1</formula>
      <formula>100</formula>
    </cfRule>
    <cfRule type="cellIs" dxfId="11299" priority="438" stopIfTrue="1" operator="between">
      <formula>35.1</formula>
      <formula>80</formula>
    </cfRule>
    <cfRule type="cellIs" dxfId="11298" priority="439" stopIfTrue="1" operator="between">
      <formula>14.1</formula>
      <formula>35</formula>
    </cfRule>
    <cfRule type="cellIs" dxfId="11297" priority="440" stopIfTrue="1" operator="between">
      <formula>5.1</formula>
      <formula>14</formula>
    </cfRule>
    <cfRule type="cellIs" dxfId="11296" priority="441" stopIfTrue="1" operator="between">
      <formula>0</formula>
      <formula>5</formula>
    </cfRule>
    <cfRule type="containsBlanks" dxfId="11295" priority="442" stopIfTrue="1">
      <formula>LEN(TRIM(H44))=0</formula>
    </cfRule>
  </conditionalFormatting>
  <conditionalFormatting sqref="E45:F47 E49:F49 H49:I49 E51:F52 E48:I48 E50:I50 I47 E44:G44 H51 E55:H55 E53:G54 I52:I54">
    <cfRule type="containsBlanks" dxfId="11294" priority="429" stopIfTrue="1">
      <formula>LEN(TRIM(E44))=0</formula>
    </cfRule>
    <cfRule type="cellIs" dxfId="11293" priority="430" stopIfTrue="1" operator="between">
      <formula>80.1</formula>
      <formula>100</formula>
    </cfRule>
    <cfRule type="cellIs" dxfId="11292" priority="431" stopIfTrue="1" operator="between">
      <formula>35.1</formula>
      <formula>80</formula>
    </cfRule>
    <cfRule type="cellIs" dxfId="11291" priority="432" stopIfTrue="1" operator="between">
      <formula>14.1</formula>
      <formula>35</formula>
    </cfRule>
    <cfRule type="cellIs" dxfId="11290" priority="433" stopIfTrue="1" operator="between">
      <formula>5.1</formula>
      <formula>14</formula>
    </cfRule>
    <cfRule type="cellIs" dxfId="11289" priority="434" stopIfTrue="1" operator="between">
      <formula>0</formula>
      <formula>5</formula>
    </cfRule>
    <cfRule type="containsBlanks" dxfId="11288" priority="435" stopIfTrue="1">
      <formula>LEN(TRIM(E44))=0</formula>
    </cfRule>
  </conditionalFormatting>
  <conditionalFormatting sqref="H52">
    <cfRule type="containsBlanks" dxfId="11287" priority="422" stopIfTrue="1">
      <formula>LEN(TRIM(H52))=0</formula>
    </cfRule>
    <cfRule type="cellIs" dxfId="11286" priority="423" stopIfTrue="1" operator="between">
      <formula>80.1</formula>
      <formula>100</formula>
    </cfRule>
    <cfRule type="cellIs" dxfId="11285" priority="424" stopIfTrue="1" operator="between">
      <formula>35.1</formula>
      <formula>80</formula>
    </cfRule>
    <cfRule type="cellIs" dxfId="11284" priority="425" stopIfTrue="1" operator="between">
      <formula>14.1</formula>
      <formula>35</formula>
    </cfRule>
    <cfRule type="cellIs" dxfId="11283" priority="426" stopIfTrue="1" operator="between">
      <formula>5.1</formula>
      <formula>14</formula>
    </cfRule>
    <cfRule type="cellIs" dxfId="11282" priority="427" stopIfTrue="1" operator="between">
      <formula>0</formula>
      <formula>5</formula>
    </cfRule>
    <cfRule type="containsBlanks" dxfId="11281" priority="428" stopIfTrue="1">
      <formula>LEN(TRIM(H52))=0</formula>
    </cfRule>
  </conditionalFormatting>
  <conditionalFormatting sqref="H54">
    <cfRule type="containsBlanks" dxfId="11280" priority="415" stopIfTrue="1">
      <formula>LEN(TRIM(H54))=0</formula>
    </cfRule>
    <cfRule type="cellIs" dxfId="11279" priority="416" stopIfTrue="1" operator="between">
      <formula>80.1</formula>
      <formula>100</formula>
    </cfRule>
    <cfRule type="cellIs" dxfId="11278" priority="417" stopIfTrue="1" operator="between">
      <formula>35.1</formula>
      <formula>80</formula>
    </cfRule>
    <cfRule type="cellIs" dxfId="11277" priority="418" stopIfTrue="1" operator="between">
      <formula>14.1</formula>
      <formula>35</formula>
    </cfRule>
    <cfRule type="cellIs" dxfId="11276" priority="419" stopIfTrue="1" operator="between">
      <formula>5.1</formula>
      <formula>14</formula>
    </cfRule>
    <cfRule type="cellIs" dxfId="11275" priority="420" stopIfTrue="1" operator="between">
      <formula>0</formula>
      <formula>5</formula>
    </cfRule>
    <cfRule type="containsBlanks" dxfId="11274" priority="421" stopIfTrue="1">
      <formula>LEN(TRIM(H54))=0</formula>
    </cfRule>
  </conditionalFormatting>
  <conditionalFormatting sqref="H45">
    <cfRule type="containsBlanks" dxfId="11273" priority="408" stopIfTrue="1">
      <formula>LEN(TRIM(H45))=0</formula>
    </cfRule>
    <cfRule type="cellIs" dxfId="11272" priority="409" stopIfTrue="1" operator="between">
      <formula>80.1</formula>
      <formula>100</formula>
    </cfRule>
    <cfRule type="cellIs" dxfId="11271" priority="410" stopIfTrue="1" operator="between">
      <formula>35.1</formula>
      <formula>80</formula>
    </cfRule>
    <cfRule type="cellIs" dxfId="11270" priority="411" stopIfTrue="1" operator="between">
      <formula>14.1</formula>
      <formula>35</formula>
    </cfRule>
    <cfRule type="cellIs" dxfId="11269" priority="412" stopIfTrue="1" operator="between">
      <formula>5.1</formula>
      <formula>14</formula>
    </cfRule>
    <cfRule type="cellIs" dxfId="11268" priority="413" stopIfTrue="1" operator="between">
      <formula>0</formula>
      <formula>5</formula>
    </cfRule>
    <cfRule type="containsBlanks" dxfId="11267" priority="414" stopIfTrue="1">
      <formula>LEN(TRIM(H45))=0</formula>
    </cfRule>
  </conditionalFormatting>
  <conditionalFormatting sqref="H47">
    <cfRule type="containsBlanks" dxfId="11266" priority="401" stopIfTrue="1">
      <formula>LEN(TRIM(H47))=0</formula>
    </cfRule>
    <cfRule type="cellIs" dxfId="11265" priority="402" stopIfTrue="1" operator="between">
      <formula>80.1</formula>
      <formula>100</formula>
    </cfRule>
    <cfRule type="cellIs" dxfId="11264" priority="403" stopIfTrue="1" operator="between">
      <formula>35.1</formula>
      <formula>80</formula>
    </cfRule>
    <cfRule type="cellIs" dxfId="11263" priority="404" stopIfTrue="1" operator="between">
      <formula>14.1</formula>
      <formula>35</formula>
    </cfRule>
    <cfRule type="cellIs" dxfId="11262" priority="405" stopIfTrue="1" operator="between">
      <formula>5.1</formula>
      <formula>14</formula>
    </cfRule>
    <cfRule type="cellIs" dxfId="11261" priority="406" stopIfTrue="1" operator="between">
      <formula>0</formula>
      <formula>5</formula>
    </cfRule>
    <cfRule type="containsBlanks" dxfId="11260" priority="407" stopIfTrue="1">
      <formula>LEN(TRIM(H47))=0</formula>
    </cfRule>
  </conditionalFormatting>
  <conditionalFormatting sqref="H53">
    <cfRule type="containsBlanks" dxfId="11259" priority="394" stopIfTrue="1">
      <formula>LEN(TRIM(H53))=0</formula>
    </cfRule>
    <cfRule type="cellIs" dxfId="11258" priority="395" stopIfTrue="1" operator="between">
      <formula>80.1</formula>
      <formula>100</formula>
    </cfRule>
    <cfRule type="cellIs" dxfId="11257" priority="396" stopIfTrue="1" operator="between">
      <formula>35.1</formula>
      <formula>80</formula>
    </cfRule>
    <cfRule type="cellIs" dxfId="11256" priority="397" stopIfTrue="1" operator="between">
      <formula>14.1</formula>
      <formula>35</formula>
    </cfRule>
    <cfRule type="cellIs" dxfId="11255" priority="398" stopIfTrue="1" operator="between">
      <formula>5.1</formula>
      <formula>14</formula>
    </cfRule>
    <cfRule type="cellIs" dxfId="11254" priority="399" stopIfTrue="1" operator="between">
      <formula>0</formula>
      <formula>5</formula>
    </cfRule>
    <cfRule type="containsBlanks" dxfId="11253" priority="400" stopIfTrue="1">
      <formula>LEN(TRIM(H53))=0</formula>
    </cfRule>
  </conditionalFormatting>
  <conditionalFormatting sqref="I46">
    <cfRule type="containsBlanks" dxfId="11252" priority="387" stopIfTrue="1">
      <formula>LEN(TRIM(I46))=0</formula>
    </cfRule>
    <cfRule type="cellIs" dxfId="11251" priority="388" stopIfTrue="1" operator="between">
      <formula>80.1</formula>
      <formula>100</formula>
    </cfRule>
    <cfRule type="cellIs" dxfId="11250" priority="389" stopIfTrue="1" operator="between">
      <formula>35.1</formula>
      <formula>80</formula>
    </cfRule>
    <cfRule type="cellIs" dxfId="11249" priority="390" stopIfTrue="1" operator="between">
      <formula>14.1</formula>
      <formula>35</formula>
    </cfRule>
    <cfRule type="cellIs" dxfId="11248" priority="391" stopIfTrue="1" operator="between">
      <formula>5.1</formula>
      <formula>14</formula>
    </cfRule>
    <cfRule type="cellIs" dxfId="11247" priority="392" stopIfTrue="1" operator="between">
      <formula>0</formula>
      <formula>5</formula>
    </cfRule>
    <cfRule type="containsBlanks" dxfId="11246" priority="393" stopIfTrue="1">
      <formula>LEN(TRIM(I46))=0</formula>
    </cfRule>
  </conditionalFormatting>
  <conditionalFormatting sqref="I55">
    <cfRule type="containsBlanks" dxfId="11245" priority="380" stopIfTrue="1">
      <formula>LEN(TRIM(I55))=0</formula>
    </cfRule>
    <cfRule type="cellIs" dxfId="11244" priority="381" stopIfTrue="1" operator="between">
      <formula>80.1</formula>
      <formula>100</formula>
    </cfRule>
    <cfRule type="cellIs" dxfId="11243" priority="382" stopIfTrue="1" operator="between">
      <formula>35.1</formula>
      <formula>80</formula>
    </cfRule>
    <cfRule type="cellIs" dxfId="11242" priority="383" stopIfTrue="1" operator="between">
      <formula>14.1</formula>
      <formula>35</formula>
    </cfRule>
    <cfRule type="cellIs" dxfId="11241" priority="384" stopIfTrue="1" operator="between">
      <formula>5.1</formula>
      <formula>14</formula>
    </cfRule>
    <cfRule type="cellIs" dxfId="11240" priority="385" stopIfTrue="1" operator="between">
      <formula>0</formula>
      <formula>5</formula>
    </cfRule>
    <cfRule type="containsBlanks" dxfId="11239" priority="386" stopIfTrue="1">
      <formula>LEN(TRIM(I55))=0</formula>
    </cfRule>
  </conditionalFormatting>
  <conditionalFormatting sqref="E66:P66">
    <cfRule type="containsBlanks" dxfId="11238" priority="373" stopIfTrue="1">
      <formula>LEN(TRIM(E66))=0</formula>
    </cfRule>
    <cfRule type="cellIs" dxfId="11237" priority="374" stopIfTrue="1" operator="between">
      <formula>80.1</formula>
      <formula>100</formula>
    </cfRule>
    <cfRule type="cellIs" dxfId="11236" priority="375" stopIfTrue="1" operator="between">
      <formula>35.1</formula>
      <formula>80</formula>
    </cfRule>
    <cfRule type="cellIs" dxfId="11235" priority="376" stopIfTrue="1" operator="between">
      <formula>14.1</formula>
      <formula>35</formula>
    </cfRule>
    <cfRule type="cellIs" dxfId="11234" priority="377" stopIfTrue="1" operator="between">
      <formula>5.1</formula>
      <formula>14</formula>
    </cfRule>
    <cfRule type="cellIs" dxfId="11233" priority="378" stopIfTrue="1" operator="between">
      <formula>0</formula>
      <formula>5</formula>
    </cfRule>
    <cfRule type="containsBlanks" dxfId="11232" priority="379" stopIfTrue="1">
      <formula>LEN(TRIM(E66))=0</formula>
    </cfRule>
  </conditionalFormatting>
  <conditionalFormatting sqref="E61:P61">
    <cfRule type="containsBlanks" dxfId="11231" priority="366" stopIfTrue="1">
      <formula>LEN(TRIM(E61))=0</formula>
    </cfRule>
    <cfRule type="cellIs" dxfId="11230" priority="367" stopIfTrue="1" operator="between">
      <formula>80.1</formula>
      <formula>100</formula>
    </cfRule>
    <cfRule type="cellIs" dxfId="11229" priority="368" stopIfTrue="1" operator="between">
      <formula>35.1</formula>
      <formula>80</formula>
    </cfRule>
    <cfRule type="cellIs" dxfId="11228" priority="369" stopIfTrue="1" operator="between">
      <formula>14.1</formula>
      <formula>35</formula>
    </cfRule>
    <cfRule type="cellIs" dxfId="11227" priority="370" stopIfTrue="1" operator="between">
      <formula>5.1</formula>
      <formula>14</formula>
    </cfRule>
    <cfRule type="cellIs" dxfId="11226" priority="371" stopIfTrue="1" operator="between">
      <formula>0</formula>
      <formula>5</formula>
    </cfRule>
    <cfRule type="containsBlanks" dxfId="11225" priority="372" stopIfTrue="1">
      <formula>LEN(TRIM(E61))=0</formula>
    </cfRule>
  </conditionalFormatting>
  <conditionalFormatting sqref="E58:P58">
    <cfRule type="containsBlanks" dxfId="11224" priority="359" stopIfTrue="1">
      <formula>LEN(TRIM(E58))=0</formula>
    </cfRule>
    <cfRule type="cellIs" dxfId="11223" priority="360" stopIfTrue="1" operator="between">
      <formula>80.1</formula>
      <formula>100</formula>
    </cfRule>
    <cfRule type="cellIs" dxfId="11222" priority="361" stopIfTrue="1" operator="between">
      <formula>35.1</formula>
      <formula>80</formula>
    </cfRule>
    <cfRule type="cellIs" dxfId="11221" priority="362" stopIfTrue="1" operator="between">
      <formula>14.1</formula>
      <formula>35</formula>
    </cfRule>
    <cfRule type="cellIs" dxfId="11220" priority="363" stopIfTrue="1" operator="between">
      <formula>5.1</formula>
      <formula>14</formula>
    </cfRule>
    <cfRule type="cellIs" dxfId="11219" priority="364" stopIfTrue="1" operator="between">
      <formula>0</formula>
      <formula>5</formula>
    </cfRule>
    <cfRule type="containsBlanks" dxfId="11218" priority="365" stopIfTrue="1">
      <formula>LEN(TRIM(E58))=0</formula>
    </cfRule>
  </conditionalFormatting>
  <conditionalFormatting sqref="E67:P70">
    <cfRule type="containsBlanks" dxfId="11217" priority="352" stopIfTrue="1">
      <formula>LEN(TRIM(E67))=0</formula>
    </cfRule>
    <cfRule type="cellIs" dxfId="11216" priority="353" stopIfTrue="1" operator="between">
      <formula>80.1</formula>
      <formula>100</formula>
    </cfRule>
    <cfRule type="cellIs" dxfId="11215" priority="354" stopIfTrue="1" operator="between">
      <formula>35.1</formula>
      <formula>80</formula>
    </cfRule>
    <cfRule type="cellIs" dxfId="11214" priority="355" stopIfTrue="1" operator="between">
      <formula>14.1</formula>
      <formula>35</formula>
    </cfRule>
    <cfRule type="cellIs" dxfId="11213" priority="356" stopIfTrue="1" operator="between">
      <formula>5.1</formula>
      <formula>14</formula>
    </cfRule>
    <cfRule type="cellIs" dxfId="11212" priority="357" stopIfTrue="1" operator="between">
      <formula>0</formula>
      <formula>5</formula>
    </cfRule>
    <cfRule type="containsBlanks" dxfId="11211" priority="358" stopIfTrue="1">
      <formula>LEN(TRIM(E67))=0</formula>
    </cfRule>
  </conditionalFormatting>
  <conditionalFormatting sqref="N75:P75 E73:I73 K76:P77 K75:L75 K73:P74 E77:I77 E74:G74 I74 E75:F76 H75:I76">
    <cfRule type="containsBlanks" dxfId="11210" priority="345" stopIfTrue="1">
      <formula>LEN(TRIM(E73))=0</formula>
    </cfRule>
    <cfRule type="cellIs" dxfId="11209" priority="346" stopIfTrue="1" operator="between">
      <formula>80.1</formula>
      <formula>100</formula>
    </cfRule>
    <cfRule type="cellIs" dxfId="11208" priority="347" stopIfTrue="1" operator="between">
      <formula>35.1</formula>
      <formula>80</formula>
    </cfRule>
    <cfRule type="cellIs" dxfId="11207" priority="348" stopIfTrue="1" operator="between">
      <formula>14.1</formula>
      <formula>35</formula>
    </cfRule>
    <cfRule type="cellIs" dxfId="11206" priority="349" stopIfTrue="1" operator="between">
      <formula>5.1</formula>
      <formula>14</formula>
    </cfRule>
    <cfRule type="cellIs" dxfId="11205" priority="350" stopIfTrue="1" operator="between">
      <formula>0</formula>
      <formula>5</formula>
    </cfRule>
    <cfRule type="containsBlanks" dxfId="11204" priority="351" stopIfTrue="1">
      <formula>LEN(TRIM(E73))=0</formula>
    </cfRule>
  </conditionalFormatting>
  <conditionalFormatting sqref="M75">
    <cfRule type="containsBlanks" dxfId="11203" priority="338" stopIfTrue="1">
      <formula>LEN(TRIM(M75))=0</formula>
    </cfRule>
    <cfRule type="cellIs" dxfId="11202" priority="339" stopIfTrue="1" operator="between">
      <formula>80.1</formula>
      <formula>100</formula>
    </cfRule>
    <cfRule type="cellIs" dxfId="11201" priority="340" stopIfTrue="1" operator="between">
      <formula>35.1</formula>
      <formula>80</formula>
    </cfRule>
    <cfRule type="cellIs" dxfId="11200" priority="341" stopIfTrue="1" operator="between">
      <formula>14.1</formula>
      <formula>35</formula>
    </cfRule>
    <cfRule type="cellIs" dxfId="11199" priority="342" stopIfTrue="1" operator="between">
      <formula>5.1</formula>
      <formula>14</formula>
    </cfRule>
    <cfRule type="cellIs" dxfId="11198" priority="343" stopIfTrue="1" operator="between">
      <formula>0</formula>
      <formula>5</formula>
    </cfRule>
    <cfRule type="containsBlanks" dxfId="11197" priority="344" stopIfTrue="1">
      <formula>LEN(TRIM(M75))=0</formula>
    </cfRule>
  </conditionalFormatting>
  <conditionalFormatting sqref="J73:J77">
    <cfRule type="containsBlanks" dxfId="11196" priority="331" stopIfTrue="1">
      <formula>LEN(TRIM(J73))=0</formula>
    </cfRule>
    <cfRule type="cellIs" dxfId="11195" priority="332" stopIfTrue="1" operator="between">
      <formula>80.1</formula>
      <formula>100</formula>
    </cfRule>
    <cfRule type="cellIs" dxfId="11194" priority="333" stopIfTrue="1" operator="between">
      <formula>35.1</formula>
      <formula>80</formula>
    </cfRule>
    <cfRule type="cellIs" dxfId="11193" priority="334" stopIfTrue="1" operator="between">
      <formula>14.1</formula>
      <formula>35</formula>
    </cfRule>
    <cfRule type="cellIs" dxfId="11192" priority="335" stopIfTrue="1" operator="between">
      <formula>5.1</formula>
      <formula>14</formula>
    </cfRule>
    <cfRule type="cellIs" dxfId="11191" priority="336" stopIfTrue="1" operator="between">
      <formula>0</formula>
      <formula>5</formula>
    </cfRule>
    <cfRule type="containsBlanks" dxfId="11190" priority="337" stopIfTrue="1">
      <formula>LEN(TRIM(J73))=0</formula>
    </cfRule>
  </conditionalFormatting>
  <conditionalFormatting sqref="H74">
    <cfRule type="containsBlanks" dxfId="11189" priority="324" stopIfTrue="1">
      <formula>LEN(TRIM(H74))=0</formula>
    </cfRule>
    <cfRule type="cellIs" dxfId="11188" priority="325" stopIfTrue="1" operator="between">
      <formula>80.1</formula>
      <formula>100</formula>
    </cfRule>
    <cfRule type="cellIs" dxfId="11187" priority="326" stopIfTrue="1" operator="between">
      <formula>35.1</formula>
      <formula>80</formula>
    </cfRule>
    <cfRule type="cellIs" dxfId="11186" priority="327" stopIfTrue="1" operator="between">
      <formula>14.1</formula>
      <formula>35</formula>
    </cfRule>
    <cfRule type="cellIs" dxfId="11185" priority="328" stopIfTrue="1" operator="between">
      <formula>5.1</formula>
      <formula>14</formula>
    </cfRule>
    <cfRule type="cellIs" dxfId="11184" priority="329" stopIfTrue="1" operator="between">
      <formula>0</formula>
      <formula>5</formula>
    </cfRule>
    <cfRule type="containsBlanks" dxfId="11183" priority="330" stopIfTrue="1">
      <formula>LEN(TRIM(H74))=0</formula>
    </cfRule>
  </conditionalFormatting>
  <conditionalFormatting sqref="G75:G76">
    <cfRule type="containsBlanks" dxfId="11182" priority="317" stopIfTrue="1">
      <formula>LEN(TRIM(G75))=0</formula>
    </cfRule>
    <cfRule type="cellIs" dxfId="11181" priority="318" stopIfTrue="1" operator="between">
      <formula>80.1</formula>
      <formula>100</formula>
    </cfRule>
    <cfRule type="cellIs" dxfId="11180" priority="319" stopIfTrue="1" operator="between">
      <formula>35.1</formula>
      <formula>80</formula>
    </cfRule>
    <cfRule type="cellIs" dxfId="11179" priority="320" stopIfTrue="1" operator="between">
      <formula>14.1</formula>
      <formula>35</formula>
    </cfRule>
    <cfRule type="cellIs" dxfId="11178" priority="321" stopIfTrue="1" operator="between">
      <formula>5.1</formula>
      <formula>14</formula>
    </cfRule>
    <cfRule type="cellIs" dxfId="11177" priority="322" stopIfTrue="1" operator="between">
      <formula>0</formula>
      <formula>5</formula>
    </cfRule>
    <cfRule type="containsBlanks" dxfId="11176" priority="323" stopIfTrue="1">
      <formula>LEN(TRIM(G75))=0</formula>
    </cfRule>
  </conditionalFormatting>
  <conditionalFormatting sqref="E78:P88">
    <cfRule type="containsBlanks" dxfId="11175" priority="310" stopIfTrue="1">
      <formula>LEN(TRIM(E78))=0</formula>
    </cfRule>
    <cfRule type="cellIs" dxfId="11174" priority="311" stopIfTrue="1" operator="between">
      <formula>80.1</formula>
      <formula>100</formula>
    </cfRule>
    <cfRule type="cellIs" dxfId="11173" priority="312" stopIfTrue="1" operator="between">
      <formula>35.1</formula>
      <formula>80</formula>
    </cfRule>
    <cfRule type="cellIs" dxfId="11172" priority="313" stopIfTrue="1" operator="between">
      <formula>14.1</formula>
      <formula>35</formula>
    </cfRule>
    <cfRule type="cellIs" dxfId="11171" priority="314" stopIfTrue="1" operator="between">
      <formula>5.1</formula>
      <formula>14</formula>
    </cfRule>
    <cfRule type="cellIs" dxfId="11170" priority="315" stopIfTrue="1" operator="between">
      <formula>0</formula>
      <formula>5</formula>
    </cfRule>
    <cfRule type="containsBlanks" dxfId="11169" priority="316" stopIfTrue="1">
      <formula>LEN(TRIM(E78))=0</formula>
    </cfRule>
  </conditionalFormatting>
  <conditionalFormatting sqref="E94:P94">
    <cfRule type="containsBlanks" dxfId="11168" priority="303" stopIfTrue="1">
      <formula>LEN(TRIM(E94))=0</formula>
    </cfRule>
    <cfRule type="cellIs" dxfId="11167" priority="304" stopIfTrue="1" operator="between">
      <formula>80.1</formula>
      <formula>100</formula>
    </cfRule>
    <cfRule type="cellIs" dxfId="11166" priority="305" stopIfTrue="1" operator="between">
      <formula>35.1</formula>
      <formula>80</formula>
    </cfRule>
    <cfRule type="cellIs" dxfId="11165" priority="306" stopIfTrue="1" operator="between">
      <formula>14.1</formula>
      <formula>35</formula>
    </cfRule>
    <cfRule type="cellIs" dxfId="11164" priority="307" stopIfTrue="1" operator="between">
      <formula>5.1</formula>
      <formula>14</formula>
    </cfRule>
    <cfRule type="cellIs" dxfId="11163" priority="308" stopIfTrue="1" operator="between">
      <formula>0</formula>
      <formula>5</formula>
    </cfRule>
    <cfRule type="containsBlanks" dxfId="11162" priority="309" stopIfTrue="1">
      <formula>LEN(TRIM(E94))=0</formula>
    </cfRule>
  </conditionalFormatting>
  <conditionalFormatting sqref="E90:P90">
    <cfRule type="containsBlanks" dxfId="11161" priority="296" stopIfTrue="1">
      <formula>LEN(TRIM(E90))=0</formula>
    </cfRule>
    <cfRule type="cellIs" dxfId="11160" priority="297" stopIfTrue="1" operator="between">
      <formula>80.1</formula>
      <formula>100</formula>
    </cfRule>
    <cfRule type="cellIs" dxfId="11159" priority="298" stopIfTrue="1" operator="between">
      <formula>35.1</formula>
      <formula>80</formula>
    </cfRule>
    <cfRule type="cellIs" dxfId="11158" priority="299" stopIfTrue="1" operator="between">
      <formula>14.1</formula>
      <formula>35</formula>
    </cfRule>
    <cfRule type="cellIs" dxfId="11157" priority="300" stopIfTrue="1" operator="between">
      <formula>5.1</formula>
      <formula>14</formula>
    </cfRule>
    <cfRule type="cellIs" dxfId="11156" priority="301" stopIfTrue="1" operator="between">
      <formula>0</formula>
      <formula>5</formula>
    </cfRule>
    <cfRule type="containsBlanks" dxfId="11155" priority="302" stopIfTrue="1">
      <formula>LEN(TRIM(E90))=0</formula>
    </cfRule>
  </conditionalFormatting>
  <conditionalFormatting sqref="E103:P103">
    <cfRule type="containsBlanks" dxfId="11154" priority="274" stopIfTrue="1">
      <formula>LEN(TRIM(E103))=0</formula>
    </cfRule>
    <cfRule type="cellIs" dxfId="11153" priority="275" stopIfTrue="1" operator="between">
      <formula>80.1</formula>
      <formula>100</formula>
    </cfRule>
    <cfRule type="cellIs" dxfId="11152" priority="276" stopIfTrue="1" operator="between">
      <formula>35.1</formula>
      <formula>80</formula>
    </cfRule>
    <cfRule type="cellIs" dxfId="11151" priority="277" stopIfTrue="1" operator="between">
      <formula>14.1</formula>
      <formula>35</formula>
    </cfRule>
    <cfRule type="cellIs" dxfId="11150" priority="278" stopIfTrue="1" operator="between">
      <formula>5.1</formula>
      <formula>14</formula>
    </cfRule>
    <cfRule type="cellIs" dxfId="11149" priority="279" stopIfTrue="1" operator="between">
      <formula>0</formula>
      <formula>5</formula>
    </cfRule>
    <cfRule type="containsBlanks" dxfId="11148" priority="280" stopIfTrue="1">
      <formula>LEN(TRIM(E103))=0</formula>
    </cfRule>
  </conditionalFormatting>
  <conditionalFormatting sqref="E100:P100">
    <cfRule type="containsBlanks" dxfId="11147" priority="267" stopIfTrue="1">
      <formula>LEN(TRIM(E100))=0</formula>
    </cfRule>
    <cfRule type="cellIs" dxfId="11146" priority="268" stopIfTrue="1" operator="between">
      <formula>80.1</formula>
      <formula>100</formula>
    </cfRule>
    <cfRule type="cellIs" dxfId="11145" priority="269" stopIfTrue="1" operator="between">
      <formula>35.1</formula>
      <formula>80</formula>
    </cfRule>
    <cfRule type="cellIs" dxfId="11144" priority="270" stopIfTrue="1" operator="between">
      <formula>14.1</formula>
      <formula>35</formula>
    </cfRule>
    <cfRule type="cellIs" dxfId="11143" priority="271" stopIfTrue="1" operator="between">
      <formula>5.1</formula>
      <formula>14</formula>
    </cfRule>
    <cfRule type="cellIs" dxfId="11142" priority="272" stopIfTrue="1" operator="between">
      <formula>0</formula>
      <formula>5</formula>
    </cfRule>
    <cfRule type="containsBlanks" dxfId="11141" priority="273" stopIfTrue="1">
      <formula>LEN(TRIM(E100))=0</formula>
    </cfRule>
  </conditionalFormatting>
  <conditionalFormatting sqref="E93:P93">
    <cfRule type="containsBlanks" dxfId="11140" priority="260" stopIfTrue="1">
      <formula>LEN(TRIM(E93))=0</formula>
    </cfRule>
    <cfRule type="cellIs" dxfId="11139" priority="261" stopIfTrue="1" operator="between">
      <formula>80.1</formula>
      <formula>100</formula>
    </cfRule>
    <cfRule type="cellIs" dxfId="11138" priority="262" stopIfTrue="1" operator="between">
      <formula>35.1</formula>
      <formula>80</formula>
    </cfRule>
    <cfRule type="cellIs" dxfId="11137" priority="263" stopIfTrue="1" operator="between">
      <formula>14.1</formula>
      <formula>35</formula>
    </cfRule>
    <cfRule type="cellIs" dxfId="11136" priority="264" stopIfTrue="1" operator="between">
      <formula>5.1</formula>
      <formula>14</formula>
    </cfRule>
    <cfRule type="cellIs" dxfId="11135" priority="265" stopIfTrue="1" operator="between">
      <formula>0</formula>
      <formula>5</formula>
    </cfRule>
    <cfRule type="containsBlanks" dxfId="11134" priority="266" stopIfTrue="1">
      <formula>LEN(TRIM(E93))=0</formula>
    </cfRule>
  </conditionalFormatting>
  <conditionalFormatting sqref="E110:P110">
    <cfRule type="containsBlanks" dxfId="11133" priority="253" stopIfTrue="1">
      <formula>LEN(TRIM(E110))=0</formula>
    </cfRule>
    <cfRule type="cellIs" dxfId="11132" priority="254" stopIfTrue="1" operator="between">
      <formula>80.1</formula>
      <formula>100</formula>
    </cfRule>
    <cfRule type="cellIs" dxfId="11131" priority="255" stopIfTrue="1" operator="between">
      <formula>35.1</formula>
      <formula>80</formula>
    </cfRule>
    <cfRule type="cellIs" dxfId="11130" priority="256" stopIfTrue="1" operator="between">
      <formula>14.1</formula>
      <formula>35</formula>
    </cfRule>
    <cfRule type="cellIs" dxfId="11129" priority="257" stopIfTrue="1" operator="between">
      <formula>5.1</formula>
      <formula>14</formula>
    </cfRule>
    <cfRule type="cellIs" dxfId="11128" priority="258" stopIfTrue="1" operator="between">
      <formula>0</formula>
      <formula>5</formula>
    </cfRule>
    <cfRule type="containsBlanks" dxfId="11127" priority="259" stopIfTrue="1">
      <formula>LEN(TRIM(E110))=0</formula>
    </cfRule>
  </conditionalFormatting>
  <conditionalFormatting sqref="E101:P101">
    <cfRule type="containsBlanks" dxfId="11126" priority="246" stopIfTrue="1">
      <formula>LEN(TRIM(E101))=0</formula>
    </cfRule>
    <cfRule type="cellIs" dxfId="11125" priority="247" stopIfTrue="1" operator="between">
      <formula>80.1</formula>
      <formula>100</formula>
    </cfRule>
    <cfRule type="cellIs" dxfId="11124" priority="248" stopIfTrue="1" operator="between">
      <formula>35.1</formula>
      <formula>80</formula>
    </cfRule>
    <cfRule type="cellIs" dxfId="11123" priority="249" stopIfTrue="1" operator="between">
      <formula>14.1</formula>
      <formula>35</formula>
    </cfRule>
    <cfRule type="cellIs" dxfId="11122" priority="250" stopIfTrue="1" operator="between">
      <formula>5.1</formula>
      <formula>14</formula>
    </cfRule>
    <cfRule type="cellIs" dxfId="11121" priority="251" stopIfTrue="1" operator="between">
      <formula>0</formula>
      <formula>5</formula>
    </cfRule>
    <cfRule type="containsBlanks" dxfId="11120" priority="252" stopIfTrue="1">
      <formula>LEN(TRIM(E101))=0</formula>
    </cfRule>
  </conditionalFormatting>
  <conditionalFormatting sqref="E104:P104">
    <cfRule type="containsBlanks" dxfId="11119" priority="239" stopIfTrue="1">
      <formula>LEN(TRIM(E104))=0</formula>
    </cfRule>
    <cfRule type="cellIs" dxfId="11118" priority="240" stopIfTrue="1" operator="between">
      <formula>80.1</formula>
      <formula>100</formula>
    </cfRule>
    <cfRule type="cellIs" dxfId="11117" priority="241" stopIfTrue="1" operator="between">
      <formula>35.1</formula>
      <formula>80</formula>
    </cfRule>
    <cfRule type="cellIs" dxfId="11116" priority="242" stopIfTrue="1" operator="between">
      <formula>14.1</formula>
      <formula>35</formula>
    </cfRule>
    <cfRule type="cellIs" dxfId="11115" priority="243" stopIfTrue="1" operator="between">
      <formula>5.1</formula>
      <formula>14</formula>
    </cfRule>
    <cfRule type="cellIs" dxfId="11114" priority="244" stopIfTrue="1" operator="between">
      <formula>0</formula>
      <formula>5</formula>
    </cfRule>
    <cfRule type="containsBlanks" dxfId="11113" priority="245" stopIfTrue="1">
      <formula>LEN(TRIM(E104))=0</formula>
    </cfRule>
  </conditionalFormatting>
  <conditionalFormatting sqref="E105:P105">
    <cfRule type="containsBlanks" dxfId="11112" priority="225" stopIfTrue="1">
      <formula>LEN(TRIM(E105))=0</formula>
    </cfRule>
    <cfRule type="cellIs" dxfId="11111" priority="226" stopIfTrue="1" operator="between">
      <formula>80.1</formula>
      <formula>100</formula>
    </cfRule>
    <cfRule type="cellIs" dxfId="11110" priority="227" stopIfTrue="1" operator="between">
      <formula>35.1</formula>
      <formula>80</formula>
    </cfRule>
    <cfRule type="cellIs" dxfId="11109" priority="228" stopIfTrue="1" operator="between">
      <formula>14.1</formula>
      <formula>35</formula>
    </cfRule>
    <cfRule type="cellIs" dxfId="11108" priority="229" stopIfTrue="1" operator="between">
      <formula>5.1</formula>
      <formula>14</formula>
    </cfRule>
    <cfRule type="cellIs" dxfId="11107" priority="230" stopIfTrue="1" operator="between">
      <formula>0</formula>
      <formula>5</formula>
    </cfRule>
    <cfRule type="containsBlanks" dxfId="11106" priority="231" stopIfTrue="1">
      <formula>LEN(TRIM(E105))=0</formula>
    </cfRule>
  </conditionalFormatting>
  <conditionalFormatting sqref="E92:P92">
    <cfRule type="containsBlanks" dxfId="11105" priority="218" stopIfTrue="1">
      <formula>LEN(TRIM(E92))=0</formula>
    </cfRule>
    <cfRule type="cellIs" dxfId="11104" priority="219" stopIfTrue="1" operator="between">
      <formula>80.1</formula>
      <formula>100</formula>
    </cfRule>
    <cfRule type="cellIs" dxfId="11103" priority="220" stopIfTrue="1" operator="between">
      <formula>35.1</formula>
      <formula>80</formula>
    </cfRule>
    <cfRule type="cellIs" dxfId="11102" priority="221" stopIfTrue="1" operator="between">
      <formula>14.1</formula>
      <formula>35</formula>
    </cfRule>
    <cfRule type="cellIs" dxfId="11101" priority="222" stopIfTrue="1" operator="between">
      <formula>5.1</formula>
      <formula>14</formula>
    </cfRule>
    <cfRule type="cellIs" dxfId="11100" priority="223" stopIfTrue="1" operator="between">
      <formula>0</formula>
      <formula>5</formula>
    </cfRule>
    <cfRule type="containsBlanks" dxfId="11099" priority="224" stopIfTrue="1">
      <formula>LEN(TRIM(E92))=0</formula>
    </cfRule>
  </conditionalFormatting>
  <conditionalFormatting sqref="E91:P91">
    <cfRule type="containsBlanks" dxfId="11098" priority="211" stopIfTrue="1">
      <formula>LEN(TRIM(E91))=0</formula>
    </cfRule>
    <cfRule type="cellIs" dxfId="11097" priority="212" stopIfTrue="1" operator="between">
      <formula>80.1</formula>
      <formula>100</formula>
    </cfRule>
    <cfRule type="cellIs" dxfId="11096" priority="213" stopIfTrue="1" operator="between">
      <formula>35.1</formula>
      <formula>80</formula>
    </cfRule>
    <cfRule type="cellIs" dxfId="11095" priority="214" stopIfTrue="1" operator="between">
      <formula>14.1</formula>
      <formula>35</formula>
    </cfRule>
    <cfRule type="cellIs" dxfId="11094" priority="215" stopIfTrue="1" operator="between">
      <formula>5.1</formula>
      <formula>14</formula>
    </cfRule>
    <cfRule type="cellIs" dxfId="11093" priority="216" stopIfTrue="1" operator="between">
      <formula>0</formula>
      <formula>5</formula>
    </cfRule>
    <cfRule type="containsBlanks" dxfId="11092" priority="217" stopIfTrue="1">
      <formula>LEN(TRIM(E91))=0</formula>
    </cfRule>
  </conditionalFormatting>
  <conditionalFormatting sqref="E89:P89">
    <cfRule type="containsBlanks" dxfId="11091" priority="204" stopIfTrue="1">
      <formula>LEN(TRIM(E89))=0</formula>
    </cfRule>
    <cfRule type="cellIs" dxfId="11090" priority="205" stopIfTrue="1" operator="between">
      <formula>79.1</formula>
      <formula>100</formula>
    </cfRule>
    <cfRule type="cellIs" dxfId="11089" priority="206" stopIfTrue="1" operator="between">
      <formula>34.1</formula>
      <formula>79</formula>
    </cfRule>
    <cfRule type="cellIs" dxfId="11088" priority="207" stopIfTrue="1" operator="between">
      <formula>13.1</formula>
      <formula>34</formula>
    </cfRule>
    <cfRule type="cellIs" dxfId="11087" priority="208" stopIfTrue="1" operator="between">
      <formula>5.1</formula>
      <formula>13</formula>
    </cfRule>
    <cfRule type="cellIs" dxfId="11086" priority="209" stopIfTrue="1" operator="between">
      <formula>0</formula>
      <formula>5</formula>
    </cfRule>
    <cfRule type="containsBlanks" dxfId="11085" priority="210" stopIfTrue="1">
      <formula>LEN(TRIM(E89))=0</formula>
    </cfRule>
  </conditionalFormatting>
  <conditionalFormatting sqref="E109:P109">
    <cfRule type="containsBlanks" dxfId="11084" priority="197" stopIfTrue="1">
      <formula>LEN(TRIM(E109))=0</formula>
    </cfRule>
    <cfRule type="cellIs" dxfId="11083" priority="198" stopIfTrue="1" operator="between">
      <formula>80.1</formula>
      <formula>100</formula>
    </cfRule>
    <cfRule type="cellIs" dxfId="11082" priority="199" stopIfTrue="1" operator="between">
      <formula>35.1</formula>
      <formula>80</formula>
    </cfRule>
    <cfRule type="cellIs" dxfId="11081" priority="200" stopIfTrue="1" operator="between">
      <formula>14.1</formula>
      <formula>35</formula>
    </cfRule>
    <cfRule type="cellIs" dxfId="11080" priority="201" stopIfTrue="1" operator="between">
      <formula>5.1</formula>
      <formula>14</formula>
    </cfRule>
    <cfRule type="cellIs" dxfId="11079" priority="202" stopIfTrue="1" operator="between">
      <formula>0</formula>
      <formula>5</formula>
    </cfRule>
    <cfRule type="containsBlanks" dxfId="11078" priority="203" stopIfTrue="1">
      <formula>LEN(TRIM(E109))=0</formula>
    </cfRule>
  </conditionalFormatting>
  <conditionalFormatting sqref="E96:P96">
    <cfRule type="containsBlanks" dxfId="11077" priority="190" stopIfTrue="1">
      <formula>LEN(TRIM(E96))=0</formula>
    </cfRule>
    <cfRule type="cellIs" dxfId="11076" priority="191" stopIfTrue="1" operator="between">
      <formula>80.1</formula>
      <formula>100</formula>
    </cfRule>
    <cfRule type="cellIs" dxfId="11075" priority="192" stopIfTrue="1" operator="between">
      <formula>35.1</formula>
      <formula>80</formula>
    </cfRule>
    <cfRule type="cellIs" dxfId="11074" priority="193" stopIfTrue="1" operator="between">
      <formula>14.1</formula>
      <formula>35</formula>
    </cfRule>
    <cfRule type="cellIs" dxfId="11073" priority="194" stopIfTrue="1" operator="between">
      <formula>5.1</formula>
      <formula>14</formula>
    </cfRule>
    <cfRule type="cellIs" dxfId="11072" priority="195" stopIfTrue="1" operator="between">
      <formula>0</formula>
      <formula>5</formula>
    </cfRule>
    <cfRule type="containsBlanks" dxfId="11071" priority="196" stopIfTrue="1">
      <formula>LEN(TRIM(E96))=0</formula>
    </cfRule>
  </conditionalFormatting>
  <conditionalFormatting sqref="E97:P97">
    <cfRule type="containsBlanks" dxfId="11070" priority="183" stopIfTrue="1">
      <formula>LEN(TRIM(E97))=0</formula>
    </cfRule>
    <cfRule type="cellIs" dxfId="11069" priority="184" stopIfTrue="1" operator="between">
      <formula>80.1</formula>
      <formula>100</formula>
    </cfRule>
    <cfRule type="cellIs" dxfId="11068" priority="185" stopIfTrue="1" operator="between">
      <formula>35.1</formula>
      <formula>80</formula>
    </cfRule>
    <cfRule type="cellIs" dxfId="11067" priority="186" stopIfTrue="1" operator="between">
      <formula>14.1</formula>
      <formula>35</formula>
    </cfRule>
    <cfRule type="cellIs" dxfId="11066" priority="187" stopIfTrue="1" operator="between">
      <formula>5.1</formula>
      <formula>14</formula>
    </cfRule>
    <cfRule type="cellIs" dxfId="11065" priority="188" stopIfTrue="1" operator="between">
      <formula>0</formula>
      <formula>5</formula>
    </cfRule>
    <cfRule type="containsBlanks" dxfId="11064" priority="189" stopIfTrue="1">
      <formula>LEN(TRIM(E97))=0</formula>
    </cfRule>
  </conditionalFormatting>
  <conditionalFormatting sqref="E112:P114 E118:P125 E116:P116">
    <cfRule type="containsBlanks" dxfId="11063" priority="176" stopIfTrue="1">
      <formula>LEN(TRIM(E112))=0</formula>
    </cfRule>
    <cfRule type="cellIs" dxfId="11062" priority="177" stopIfTrue="1" operator="between">
      <formula>80.1</formula>
      <formula>100</formula>
    </cfRule>
    <cfRule type="cellIs" dxfId="11061" priority="178" stopIfTrue="1" operator="between">
      <formula>35.1</formula>
      <formula>80</formula>
    </cfRule>
    <cfRule type="cellIs" dxfId="11060" priority="179" stopIfTrue="1" operator="between">
      <formula>14.1</formula>
      <formula>35</formula>
    </cfRule>
    <cfRule type="cellIs" dxfId="11059" priority="180" stopIfTrue="1" operator="between">
      <formula>5.1</formula>
      <formula>14</formula>
    </cfRule>
    <cfRule type="cellIs" dxfId="11058" priority="181" stopIfTrue="1" operator="between">
      <formula>0</formula>
      <formula>5</formula>
    </cfRule>
    <cfRule type="containsBlanks" dxfId="11057" priority="182" stopIfTrue="1">
      <formula>LEN(TRIM(E112))=0</formula>
    </cfRule>
  </conditionalFormatting>
  <conditionalFormatting sqref="E148:P149">
    <cfRule type="containsBlanks" dxfId="11056" priority="162" stopIfTrue="1">
      <formula>LEN(TRIM(E148))=0</formula>
    </cfRule>
    <cfRule type="cellIs" dxfId="11055" priority="163" stopIfTrue="1" operator="between">
      <formula>80.1</formula>
      <formula>100</formula>
    </cfRule>
    <cfRule type="cellIs" dxfId="11054" priority="164" stopIfTrue="1" operator="between">
      <formula>35.1</formula>
      <formula>80</formula>
    </cfRule>
    <cfRule type="cellIs" dxfId="11053" priority="165" stopIfTrue="1" operator="between">
      <formula>14.1</formula>
      <formula>35</formula>
    </cfRule>
    <cfRule type="cellIs" dxfId="11052" priority="166" stopIfTrue="1" operator="between">
      <formula>5.1</formula>
      <formula>14</formula>
    </cfRule>
    <cfRule type="cellIs" dxfId="11051" priority="167" stopIfTrue="1" operator="between">
      <formula>0</formula>
      <formula>5</formula>
    </cfRule>
    <cfRule type="containsBlanks" dxfId="11050" priority="168" stopIfTrue="1">
      <formula>LEN(TRIM(E148))=0</formula>
    </cfRule>
  </conditionalFormatting>
  <conditionalFormatting sqref="E159:P159">
    <cfRule type="containsBlanks" dxfId="11049" priority="155" stopIfTrue="1">
      <formula>LEN(TRIM(E159))=0</formula>
    </cfRule>
    <cfRule type="cellIs" dxfId="11048" priority="156" stopIfTrue="1" operator="between">
      <formula>80.1</formula>
      <formula>100</formula>
    </cfRule>
    <cfRule type="cellIs" dxfId="11047" priority="157" stopIfTrue="1" operator="between">
      <formula>35.1</formula>
      <formula>80</formula>
    </cfRule>
    <cfRule type="cellIs" dxfId="11046" priority="158" stopIfTrue="1" operator="between">
      <formula>14.1</formula>
      <formula>35</formula>
    </cfRule>
    <cfRule type="cellIs" dxfId="11045" priority="159" stopIfTrue="1" operator="between">
      <formula>5.1</formula>
      <formula>14</formula>
    </cfRule>
    <cfRule type="cellIs" dxfId="11044" priority="160" stopIfTrue="1" operator="between">
      <formula>0</formula>
      <formula>5</formula>
    </cfRule>
    <cfRule type="containsBlanks" dxfId="11043" priority="161" stopIfTrue="1">
      <formula>LEN(TRIM(E159))=0</formula>
    </cfRule>
  </conditionalFormatting>
  <conditionalFormatting sqref="E172:P172">
    <cfRule type="containsBlanks" dxfId="11042" priority="134" stopIfTrue="1">
      <formula>LEN(TRIM(E172))=0</formula>
    </cfRule>
    <cfRule type="cellIs" dxfId="11041" priority="135" stopIfTrue="1" operator="between">
      <formula>80.1</formula>
      <formula>100</formula>
    </cfRule>
    <cfRule type="cellIs" dxfId="11040" priority="136" stopIfTrue="1" operator="between">
      <formula>35.1</formula>
      <formula>80</formula>
    </cfRule>
    <cfRule type="cellIs" dxfId="11039" priority="137" stopIfTrue="1" operator="between">
      <formula>14.1</formula>
      <formula>35</formula>
    </cfRule>
    <cfRule type="cellIs" dxfId="11038" priority="138" stopIfTrue="1" operator="between">
      <formula>5.1</formula>
      <formula>14</formula>
    </cfRule>
    <cfRule type="cellIs" dxfId="11037" priority="139" stopIfTrue="1" operator="between">
      <formula>0</formula>
      <formula>5</formula>
    </cfRule>
    <cfRule type="containsBlanks" dxfId="11036" priority="140" stopIfTrue="1">
      <formula>LEN(TRIM(E172))=0</formula>
    </cfRule>
  </conditionalFormatting>
  <conditionalFormatting sqref="E165:P165">
    <cfRule type="containsBlanks" dxfId="11035" priority="141" stopIfTrue="1">
      <formula>LEN(TRIM(E165))=0</formula>
    </cfRule>
    <cfRule type="cellIs" dxfId="11034" priority="142" stopIfTrue="1" operator="between">
      <formula>80.1</formula>
      <formula>100</formula>
    </cfRule>
    <cfRule type="cellIs" dxfId="11033" priority="143" stopIfTrue="1" operator="between">
      <formula>35.1</formula>
      <formula>80</formula>
    </cfRule>
    <cfRule type="cellIs" dxfId="11032" priority="144" stopIfTrue="1" operator="between">
      <formula>14.1</formula>
      <formula>35</formula>
    </cfRule>
    <cfRule type="cellIs" dxfId="11031" priority="145" stopIfTrue="1" operator="between">
      <formula>5.1</formula>
      <formula>14</formula>
    </cfRule>
    <cfRule type="cellIs" dxfId="11030" priority="146" stopIfTrue="1" operator="between">
      <formula>0</formula>
      <formula>5</formula>
    </cfRule>
    <cfRule type="containsBlanks" dxfId="11029" priority="147" stopIfTrue="1">
      <formula>LEN(TRIM(E165))=0</formula>
    </cfRule>
  </conditionalFormatting>
  <conditionalFormatting sqref="E163:P163">
    <cfRule type="containsBlanks" dxfId="11028" priority="127" stopIfTrue="1">
      <formula>LEN(TRIM(E163))=0</formula>
    </cfRule>
    <cfRule type="cellIs" dxfId="11027" priority="128" stopIfTrue="1" operator="between">
      <formula>80.1</formula>
      <formula>100</formula>
    </cfRule>
    <cfRule type="cellIs" dxfId="11026" priority="129" stopIfTrue="1" operator="between">
      <formula>35.1</formula>
      <formula>80</formula>
    </cfRule>
    <cfRule type="cellIs" dxfId="11025" priority="130" stopIfTrue="1" operator="between">
      <formula>14.1</formula>
      <formula>35</formula>
    </cfRule>
    <cfRule type="cellIs" dxfId="11024" priority="131" stopIfTrue="1" operator="between">
      <formula>5.1</formula>
      <formula>14</formula>
    </cfRule>
    <cfRule type="cellIs" dxfId="11023" priority="132" stopIfTrue="1" operator="between">
      <formula>0</formula>
      <formula>5</formula>
    </cfRule>
    <cfRule type="containsBlanks" dxfId="11022" priority="133" stopIfTrue="1">
      <formula>LEN(TRIM(E163))=0</formula>
    </cfRule>
  </conditionalFormatting>
  <conditionalFormatting sqref="E164:P164">
    <cfRule type="containsBlanks" dxfId="11021" priority="120" stopIfTrue="1">
      <formula>LEN(TRIM(E164))=0</formula>
    </cfRule>
    <cfRule type="cellIs" dxfId="11020" priority="121" stopIfTrue="1" operator="between">
      <formula>80.1</formula>
      <formula>100</formula>
    </cfRule>
    <cfRule type="cellIs" dxfId="11019" priority="122" stopIfTrue="1" operator="between">
      <formula>35.1</formula>
      <formula>80</formula>
    </cfRule>
    <cfRule type="cellIs" dxfId="11018" priority="123" stopIfTrue="1" operator="between">
      <formula>14.1</formula>
      <formula>35</formula>
    </cfRule>
    <cfRule type="cellIs" dxfId="11017" priority="124" stopIfTrue="1" operator="between">
      <formula>5.1</formula>
      <formula>14</formula>
    </cfRule>
    <cfRule type="cellIs" dxfId="11016" priority="125" stopIfTrue="1" operator="between">
      <formula>0</formula>
      <formula>5</formula>
    </cfRule>
    <cfRule type="containsBlanks" dxfId="11015" priority="126" stopIfTrue="1">
      <formula>LEN(TRIM(E164))=0</formula>
    </cfRule>
  </conditionalFormatting>
  <conditionalFormatting sqref="E173:P173">
    <cfRule type="containsBlanks" dxfId="11014" priority="113" stopIfTrue="1">
      <formula>LEN(TRIM(E173))=0</formula>
    </cfRule>
    <cfRule type="cellIs" dxfId="11013" priority="114" stopIfTrue="1" operator="between">
      <formula>80.1</formula>
      <formula>100</formula>
    </cfRule>
    <cfRule type="cellIs" dxfId="11012" priority="115" stopIfTrue="1" operator="between">
      <formula>35.1</formula>
      <formula>80</formula>
    </cfRule>
    <cfRule type="cellIs" dxfId="11011" priority="116" stopIfTrue="1" operator="between">
      <formula>14.1</formula>
      <formula>35</formula>
    </cfRule>
    <cfRule type="cellIs" dxfId="11010" priority="117" stopIfTrue="1" operator="between">
      <formula>5.1</formula>
      <formula>14</formula>
    </cfRule>
    <cfRule type="cellIs" dxfId="11009" priority="118" stopIfTrue="1" operator="between">
      <formula>0</formula>
      <formula>5</formula>
    </cfRule>
    <cfRule type="containsBlanks" dxfId="11008" priority="119" stopIfTrue="1">
      <formula>LEN(TRIM(E173))=0</formula>
    </cfRule>
  </conditionalFormatting>
  <conditionalFormatting sqref="E183:P186">
    <cfRule type="containsBlanks" dxfId="11007" priority="106" stopIfTrue="1">
      <formula>LEN(TRIM(E183))=0</formula>
    </cfRule>
    <cfRule type="cellIs" dxfId="11006" priority="107" stopIfTrue="1" operator="between">
      <formula>80.1</formula>
      <formula>100</formula>
    </cfRule>
    <cfRule type="cellIs" dxfId="11005" priority="108" stopIfTrue="1" operator="between">
      <formula>35.1</formula>
      <formula>80</formula>
    </cfRule>
    <cfRule type="cellIs" dxfId="11004" priority="109" stopIfTrue="1" operator="between">
      <formula>14.1</formula>
      <formula>35</formula>
    </cfRule>
    <cfRule type="cellIs" dxfId="11003" priority="110" stopIfTrue="1" operator="between">
      <formula>5.1</formula>
      <formula>14</formula>
    </cfRule>
    <cfRule type="cellIs" dxfId="11002" priority="111" stopIfTrue="1" operator="between">
      <formula>0</formula>
      <formula>5</formula>
    </cfRule>
    <cfRule type="containsBlanks" dxfId="11001" priority="112" stopIfTrue="1">
      <formula>LEN(TRIM(E183))=0</formula>
    </cfRule>
  </conditionalFormatting>
  <conditionalFormatting sqref="E187:P200">
    <cfRule type="containsBlanks" dxfId="11000" priority="99" stopIfTrue="1">
      <formula>LEN(TRIM(E187))=0</formula>
    </cfRule>
    <cfRule type="cellIs" dxfId="10999" priority="100" stopIfTrue="1" operator="between">
      <formula>80.1</formula>
      <formula>100</formula>
    </cfRule>
    <cfRule type="cellIs" dxfId="10998" priority="101" stopIfTrue="1" operator="between">
      <formula>35.1</formula>
      <formula>80</formula>
    </cfRule>
    <cfRule type="cellIs" dxfId="10997" priority="102" stopIfTrue="1" operator="between">
      <formula>14.1</formula>
      <formula>35</formula>
    </cfRule>
    <cfRule type="cellIs" dxfId="10996" priority="103" stopIfTrue="1" operator="between">
      <formula>5.1</formula>
      <formula>14</formula>
    </cfRule>
    <cfRule type="cellIs" dxfId="10995" priority="104" stopIfTrue="1" operator="between">
      <formula>0</formula>
      <formula>5</formula>
    </cfRule>
    <cfRule type="containsBlanks" dxfId="10994" priority="105" stopIfTrue="1">
      <formula>LEN(TRIM(E187))=0</formula>
    </cfRule>
  </conditionalFormatting>
  <conditionalFormatting sqref="E202:P202">
    <cfRule type="containsBlanks" dxfId="10993" priority="92" stopIfTrue="1">
      <formula>LEN(TRIM(E202))=0</formula>
    </cfRule>
    <cfRule type="cellIs" dxfId="10992" priority="93" stopIfTrue="1" operator="between">
      <formula>80.1</formula>
      <formula>100</formula>
    </cfRule>
    <cfRule type="cellIs" dxfId="10991" priority="94" stopIfTrue="1" operator="between">
      <formula>35.1</formula>
      <formula>80</formula>
    </cfRule>
    <cfRule type="cellIs" dxfId="10990" priority="95" stopIfTrue="1" operator="between">
      <formula>14.1</formula>
      <formula>35</formula>
    </cfRule>
    <cfRule type="cellIs" dxfId="10989" priority="96" stopIfTrue="1" operator="between">
      <formula>5.1</formula>
      <formula>14</formula>
    </cfRule>
    <cfRule type="cellIs" dxfId="10988" priority="97" stopIfTrue="1" operator="between">
      <formula>0</formula>
      <formula>5</formula>
    </cfRule>
    <cfRule type="containsBlanks" dxfId="10987" priority="98" stopIfTrue="1">
      <formula>LEN(TRIM(E202))=0</formula>
    </cfRule>
  </conditionalFormatting>
  <conditionalFormatting sqref="E203:P208">
    <cfRule type="containsBlanks" dxfId="10986" priority="85" stopIfTrue="1">
      <formula>LEN(TRIM(E203))=0</formula>
    </cfRule>
    <cfRule type="cellIs" dxfId="10985" priority="86" stopIfTrue="1" operator="between">
      <formula>80.1</formula>
      <formula>100</formula>
    </cfRule>
    <cfRule type="cellIs" dxfId="10984" priority="87" stopIfTrue="1" operator="between">
      <formula>35.1</formula>
      <formula>80</formula>
    </cfRule>
    <cfRule type="cellIs" dxfId="10983" priority="88" stopIfTrue="1" operator="between">
      <formula>14.1</formula>
      <formula>35</formula>
    </cfRule>
    <cfRule type="cellIs" dxfId="10982" priority="89" stopIfTrue="1" operator="between">
      <formula>5.1</formula>
      <formula>14</formula>
    </cfRule>
    <cfRule type="cellIs" dxfId="10981" priority="90" stopIfTrue="1" operator="between">
      <formula>0</formula>
      <formula>5</formula>
    </cfRule>
    <cfRule type="containsBlanks" dxfId="10980" priority="91" stopIfTrue="1">
      <formula>LEN(TRIM(E203))=0</formula>
    </cfRule>
  </conditionalFormatting>
  <conditionalFormatting sqref="E210:P222">
    <cfRule type="containsBlanks" dxfId="10979" priority="78" stopIfTrue="1">
      <formula>LEN(TRIM(E210))=0</formula>
    </cfRule>
    <cfRule type="cellIs" dxfId="10978" priority="79" stopIfTrue="1" operator="between">
      <formula>80.1</formula>
      <formula>100</formula>
    </cfRule>
    <cfRule type="cellIs" dxfId="10977" priority="80" stopIfTrue="1" operator="between">
      <formula>35.1</formula>
      <formula>80</formula>
    </cfRule>
    <cfRule type="cellIs" dxfId="10976" priority="81" stopIfTrue="1" operator="between">
      <formula>14.1</formula>
      <formula>35</formula>
    </cfRule>
    <cfRule type="cellIs" dxfId="10975" priority="82" stopIfTrue="1" operator="between">
      <formula>5.1</formula>
      <formula>14</formula>
    </cfRule>
    <cfRule type="cellIs" dxfId="10974" priority="83" stopIfTrue="1" operator="between">
      <formula>0</formula>
      <formula>5</formula>
    </cfRule>
    <cfRule type="containsBlanks" dxfId="10973" priority="84" stopIfTrue="1">
      <formula>LEN(TRIM(E210))=0</formula>
    </cfRule>
  </conditionalFormatting>
  <conditionalFormatting sqref="E224:P232">
    <cfRule type="containsBlanks" dxfId="10972" priority="71" stopIfTrue="1">
      <formula>LEN(TRIM(E224))=0</formula>
    </cfRule>
    <cfRule type="cellIs" dxfId="10971" priority="72" stopIfTrue="1" operator="between">
      <formula>80.1</formula>
      <formula>100</formula>
    </cfRule>
    <cfRule type="cellIs" dxfId="10970" priority="73" stopIfTrue="1" operator="between">
      <formula>35.1</formula>
      <formula>80</formula>
    </cfRule>
    <cfRule type="cellIs" dxfId="10969" priority="74" stopIfTrue="1" operator="between">
      <formula>14.1</formula>
      <formula>35</formula>
    </cfRule>
    <cfRule type="cellIs" dxfId="10968" priority="75" stopIfTrue="1" operator="between">
      <formula>5.1</formula>
      <formula>14</formula>
    </cfRule>
    <cfRule type="cellIs" dxfId="10967" priority="76" stopIfTrue="1" operator="between">
      <formula>0</formula>
      <formula>5</formula>
    </cfRule>
    <cfRule type="containsBlanks" dxfId="10966" priority="77" stopIfTrue="1">
      <formula>LEN(TRIM(E224))=0</formula>
    </cfRule>
  </conditionalFormatting>
  <conditionalFormatting sqref="E209:P209">
    <cfRule type="containsBlanks" dxfId="10965" priority="64" stopIfTrue="1">
      <formula>LEN(TRIM(E209))=0</formula>
    </cfRule>
    <cfRule type="cellIs" dxfId="10964" priority="65" stopIfTrue="1" operator="between">
      <formula>80.1</formula>
      <formula>100</formula>
    </cfRule>
    <cfRule type="cellIs" dxfId="10963" priority="66" stopIfTrue="1" operator="between">
      <formula>35.1</formula>
      <formula>80</formula>
    </cfRule>
    <cfRule type="cellIs" dxfId="10962" priority="67" stopIfTrue="1" operator="between">
      <formula>14.1</formula>
      <formula>35</formula>
    </cfRule>
    <cfRule type="cellIs" dxfId="10961" priority="68" stopIfTrue="1" operator="between">
      <formula>5.1</formula>
      <formula>14</formula>
    </cfRule>
    <cfRule type="cellIs" dxfId="10960" priority="69" stopIfTrue="1" operator="between">
      <formula>0</formula>
      <formula>5</formula>
    </cfRule>
    <cfRule type="containsBlanks" dxfId="10959" priority="70" stopIfTrue="1">
      <formula>LEN(TRIM(E209))=0</formula>
    </cfRule>
  </conditionalFormatting>
  <conditionalFormatting sqref="E223:P223">
    <cfRule type="containsBlanks" dxfId="10958" priority="57" stopIfTrue="1">
      <formula>LEN(TRIM(E223))=0</formula>
    </cfRule>
    <cfRule type="cellIs" dxfId="10957" priority="58" stopIfTrue="1" operator="between">
      <formula>80.1</formula>
      <formula>100</formula>
    </cfRule>
    <cfRule type="cellIs" dxfId="10956" priority="59" stopIfTrue="1" operator="between">
      <formula>35.1</formula>
      <formula>80</formula>
    </cfRule>
    <cfRule type="cellIs" dxfId="10955" priority="60" stopIfTrue="1" operator="between">
      <formula>14.1</formula>
      <formula>35</formula>
    </cfRule>
    <cfRule type="cellIs" dxfId="10954" priority="61" stopIfTrue="1" operator="between">
      <formula>5.1</formula>
      <formula>14</formula>
    </cfRule>
    <cfRule type="cellIs" dxfId="10953" priority="62" stopIfTrue="1" operator="between">
      <formula>0</formula>
      <formula>5</formula>
    </cfRule>
    <cfRule type="containsBlanks" dxfId="10952" priority="63" stopIfTrue="1">
      <formula>LEN(TRIM(E223))=0</formula>
    </cfRule>
  </conditionalFormatting>
  <conditionalFormatting sqref="E245:P252">
    <cfRule type="containsBlanks" dxfId="10951" priority="50" stopIfTrue="1">
      <formula>LEN(TRIM(E245))=0</formula>
    </cfRule>
    <cfRule type="cellIs" dxfId="10950" priority="51" stopIfTrue="1" operator="between">
      <formula>80.1</formula>
      <formula>100</formula>
    </cfRule>
    <cfRule type="cellIs" dxfId="10949" priority="52" stopIfTrue="1" operator="between">
      <formula>35.1</formula>
      <formula>80</formula>
    </cfRule>
    <cfRule type="cellIs" dxfId="10948" priority="53" stopIfTrue="1" operator="between">
      <formula>14.1</formula>
      <formula>35</formula>
    </cfRule>
    <cfRule type="cellIs" dxfId="10947" priority="54" stopIfTrue="1" operator="between">
      <formula>5.1</formula>
      <formula>14</formula>
    </cfRule>
    <cfRule type="cellIs" dxfId="10946" priority="55" stopIfTrue="1" operator="between">
      <formula>0</formula>
      <formula>5</formula>
    </cfRule>
    <cfRule type="containsBlanks" dxfId="10945" priority="56" stopIfTrue="1">
      <formula>LEN(TRIM(E245))=0</formula>
    </cfRule>
  </conditionalFormatting>
  <conditionalFormatting sqref="E254:P264">
    <cfRule type="containsBlanks" dxfId="10944" priority="43" stopIfTrue="1">
      <formula>LEN(TRIM(E254))=0</formula>
    </cfRule>
    <cfRule type="cellIs" dxfId="10943" priority="44" stopIfTrue="1" operator="between">
      <formula>80.1</formula>
      <formula>100</formula>
    </cfRule>
    <cfRule type="cellIs" dxfId="10942" priority="45" stopIfTrue="1" operator="between">
      <formula>35.1</formula>
      <formula>80</formula>
    </cfRule>
    <cfRule type="cellIs" dxfId="10941" priority="46" stopIfTrue="1" operator="between">
      <formula>14.1</formula>
      <formula>35</formula>
    </cfRule>
    <cfRule type="cellIs" dxfId="10940" priority="47" stopIfTrue="1" operator="between">
      <formula>5.1</formula>
      <formula>14</formula>
    </cfRule>
    <cfRule type="cellIs" dxfId="10939" priority="48" stopIfTrue="1" operator="between">
      <formula>0</formula>
      <formula>5</formula>
    </cfRule>
    <cfRule type="containsBlanks" dxfId="10938" priority="49" stopIfTrue="1">
      <formula>LEN(TRIM(E254))=0</formula>
    </cfRule>
  </conditionalFormatting>
  <conditionalFormatting sqref="E253:P253">
    <cfRule type="containsBlanks" dxfId="10937" priority="36" stopIfTrue="1">
      <formula>LEN(TRIM(E253))=0</formula>
    </cfRule>
    <cfRule type="cellIs" dxfId="10936" priority="37" stopIfTrue="1" operator="between">
      <formula>80.1</formula>
      <formula>100</formula>
    </cfRule>
    <cfRule type="cellIs" dxfId="10935" priority="38" stopIfTrue="1" operator="between">
      <formula>35.1</formula>
      <formula>80</formula>
    </cfRule>
    <cfRule type="cellIs" dxfId="10934" priority="39" stopIfTrue="1" operator="between">
      <formula>14.1</formula>
      <formula>35</formula>
    </cfRule>
    <cfRule type="cellIs" dxfId="10933" priority="40" stopIfTrue="1" operator="between">
      <formula>5.1</formula>
      <formula>14</formula>
    </cfRule>
    <cfRule type="cellIs" dxfId="10932" priority="41" stopIfTrue="1" operator="between">
      <formula>0</formula>
      <formula>5</formula>
    </cfRule>
    <cfRule type="containsBlanks" dxfId="10931" priority="42" stopIfTrue="1">
      <formula>LEN(TRIM(E253))=0</formula>
    </cfRule>
  </conditionalFormatting>
  <conditionalFormatting sqref="E171:M171 O171:Q171">
    <cfRule type="containsBlanks" dxfId="10930" priority="29" stopIfTrue="1">
      <formula>LEN(TRIM(E171))=0</formula>
    </cfRule>
    <cfRule type="cellIs" dxfId="10929" priority="30" stopIfTrue="1" operator="between">
      <formula>80.1</formula>
      <formula>100</formula>
    </cfRule>
    <cfRule type="cellIs" dxfId="10928" priority="31" stopIfTrue="1" operator="between">
      <formula>35.1</formula>
      <formula>80</formula>
    </cfRule>
    <cfRule type="cellIs" dxfId="10927" priority="32" stopIfTrue="1" operator="between">
      <formula>14.1</formula>
      <formula>35</formula>
    </cfRule>
    <cfRule type="cellIs" dxfId="10926" priority="33" stopIfTrue="1" operator="between">
      <formula>5.1</formula>
      <formula>14</formula>
    </cfRule>
    <cfRule type="cellIs" dxfId="10925" priority="34" stopIfTrue="1" operator="between">
      <formula>0</formula>
      <formula>5</formula>
    </cfRule>
    <cfRule type="containsBlanks" dxfId="10924" priority="35" stopIfTrue="1">
      <formula>LEN(TRIM(E171))=0</formula>
    </cfRule>
  </conditionalFormatting>
  <conditionalFormatting sqref="N171">
    <cfRule type="containsBlanks" dxfId="10923" priority="22" stopIfTrue="1">
      <formula>LEN(TRIM(N171))=0</formula>
    </cfRule>
    <cfRule type="cellIs" dxfId="10922" priority="23" stopIfTrue="1" operator="between">
      <formula>80.1</formula>
      <formula>100</formula>
    </cfRule>
    <cfRule type="cellIs" dxfId="10921" priority="24" stopIfTrue="1" operator="between">
      <formula>35.1</formula>
      <formula>80</formula>
    </cfRule>
    <cfRule type="cellIs" dxfId="10920" priority="25" stopIfTrue="1" operator="between">
      <formula>14.1</formula>
      <formula>35</formula>
    </cfRule>
    <cfRule type="cellIs" dxfId="10919" priority="26" stopIfTrue="1" operator="between">
      <formula>5.1</formula>
      <formula>14</formula>
    </cfRule>
    <cfRule type="cellIs" dxfId="10918" priority="27" stopIfTrue="1" operator="between">
      <formula>0</formula>
      <formula>5</formula>
    </cfRule>
    <cfRule type="containsBlanks" dxfId="10917" priority="28" stopIfTrue="1">
      <formula>LEN(TRIM(N171))=0</formula>
    </cfRule>
  </conditionalFormatting>
  <conditionalFormatting sqref="E115:Q115">
    <cfRule type="containsBlanks" dxfId="10916" priority="15" stopIfTrue="1">
      <formula>LEN(TRIM(E115))=0</formula>
    </cfRule>
    <cfRule type="cellIs" dxfId="10915" priority="16" stopIfTrue="1" operator="between">
      <formula>80.1</formula>
      <formula>100</formula>
    </cfRule>
    <cfRule type="cellIs" dxfId="10914" priority="17" stopIfTrue="1" operator="between">
      <formula>35.1</formula>
      <formula>80</formula>
    </cfRule>
    <cfRule type="cellIs" dxfId="10913" priority="18" stopIfTrue="1" operator="between">
      <formula>14.1</formula>
      <formula>35</formula>
    </cfRule>
    <cfRule type="cellIs" dxfId="10912" priority="19" stopIfTrue="1" operator="between">
      <formula>5.1</formula>
      <formula>14</formula>
    </cfRule>
    <cfRule type="cellIs" dxfId="10911" priority="20" stopIfTrue="1" operator="between">
      <formula>0</formula>
      <formula>5</formula>
    </cfRule>
    <cfRule type="containsBlanks" dxfId="10910" priority="21" stopIfTrue="1">
      <formula>LEN(TRIM(E115))=0</formula>
    </cfRule>
  </conditionalFormatting>
  <conditionalFormatting sqref="E117:Q117">
    <cfRule type="containsBlanks" dxfId="10909" priority="8" stopIfTrue="1">
      <formula>LEN(TRIM(E117))=0</formula>
    </cfRule>
    <cfRule type="cellIs" dxfId="10908" priority="9" stopIfTrue="1" operator="between">
      <formula>80.1</formula>
      <formula>100</formula>
    </cfRule>
    <cfRule type="cellIs" dxfId="10907" priority="10" stopIfTrue="1" operator="between">
      <formula>35.1</formula>
      <formula>80</formula>
    </cfRule>
    <cfRule type="cellIs" dxfId="10906" priority="11" stopIfTrue="1" operator="between">
      <formula>14.1</formula>
      <formula>35</formula>
    </cfRule>
    <cfRule type="cellIs" dxfId="10905" priority="12" stopIfTrue="1" operator="between">
      <formula>5.1</formula>
      <formula>14</formula>
    </cfRule>
    <cfRule type="cellIs" dxfId="10904" priority="13" stopIfTrue="1" operator="between">
      <formula>0</formula>
      <formula>5</formula>
    </cfRule>
    <cfRule type="containsBlanks" dxfId="10903" priority="14" stopIfTrue="1">
      <formula>LEN(TRIM(E117))=0</formula>
    </cfRule>
  </conditionalFormatting>
  <conditionalFormatting sqref="I39">
    <cfRule type="containsBlanks" dxfId="10902" priority="1" stopIfTrue="1">
      <formula>LEN(TRIM(I39))=0</formula>
    </cfRule>
    <cfRule type="cellIs" dxfId="10901" priority="2" stopIfTrue="1" operator="between">
      <formula>80.1</formula>
      <formula>100</formula>
    </cfRule>
    <cfRule type="cellIs" dxfId="10900" priority="3" stopIfTrue="1" operator="between">
      <formula>35.1</formula>
      <formula>80</formula>
    </cfRule>
    <cfRule type="cellIs" dxfId="10899" priority="4" stopIfTrue="1" operator="between">
      <formula>14.1</formula>
      <formula>35</formula>
    </cfRule>
    <cfRule type="cellIs" dxfId="10898" priority="5" stopIfTrue="1" operator="between">
      <formula>5.1</formula>
      <formula>14</formula>
    </cfRule>
    <cfRule type="cellIs" dxfId="10897" priority="6" stopIfTrue="1" operator="between">
      <formula>0</formula>
      <formula>5</formula>
    </cfRule>
    <cfRule type="containsBlanks" dxfId="10896" priority="7" stopIfTrue="1">
      <formula>LEN(TRIM(I39))=0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0"/>
  </sheetPr>
  <dimension ref="A1:W775"/>
  <sheetViews>
    <sheetView zoomScale="70" zoomScaleNormal="70" workbookViewId="0">
      <pane xSplit="3" ySplit="10" topLeftCell="D11" activePane="bottomRight" state="frozenSplit"/>
      <selection pane="topRight" activeCell="D1" sqref="D1"/>
      <selection pane="bottomLeft" activeCell="A10" sqref="A10"/>
      <selection pane="bottomRight" activeCell="D21" sqref="D21"/>
    </sheetView>
  </sheetViews>
  <sheetFormatPr baseColWidth="10" defaultColWidth="0" defaultRowHeight="12.75" zeroHeight="1"/>
  <cols>
    <col min="1" max="1" width="34.5703125" style="35" customWidth="1"/>
    <col min="2" max="2" width="39.5703125" style="187" customWidth="1"/>
    <col min="3" max="3" width="63" style="187" customWidth="1"/>
    <col min="4" max="4" width="27.28515625" style="187" customWidth="1"/>
    <col min="5" max="18" width="10.7109375" style="186" customWidth="1"/>
    <col min="19" max="19" width="33.5703125" style="186" customWidth="1"/>
    <col min="20" max="20" width="9.85546875" style="186" hidden="1" customWidth="1"/>
    <col min="21" max="16384" width="11.42578125" style="186" hidden="1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4455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18" customHeight="1">
      <c r="A5" s="109"/>
      <c r="B5" s="694" t="s">
        <v>4477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6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32" customFormat="1" ht="12" customHeight="1">
      <c r="A7" s="697"/>
      <c r="B7" s="697"/>
      <c r="C7" s="42"/>
      <c r="D7" s="9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</row>
    <row r="8" spans="1:23" s="181" customFormat="1" ht="27" customHeight="1">
      <c r="A8" s="392" t="s">
        <v>4341</v>
      </c>
      <c r="B8" s="102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03"/>
    </row>
    <row r="9" spans="1:23" s="182" customFormat="1" ht="18" customHeight="1">
      <c r="A9" s="698" t="s">
        <v>37</v>
      </c>
      <c r="B9" s="696" t="s">
        <v>38</v>
      </c>
      <c r="C9" s="696" t="s">
        <v>254</v>
      </c>
      <c r="D9" s="715" t="s">
        <v>402</v>
      </c>
      <c r="E9" s="705" t="s">
        <v>33</v>
      </c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13" t="s">
        <v>34</v>
      </c>
      <c r="R9" s="713" t="s">
        <v>36</v>
      </c>
      <c r="S9" s="696" t="s">
        <v>35</v>
      </c>
      <c r="T9" s="11"/>
    </row>
    <row r="10" spans="1:23" s="182" customFormat="1" ht="24" customHeight="1">
      <c r="A10" s="722"/>
      <c r="B10" s="715"/>
      <c r="C10" s="715"/>
      <c r="D10" s="716"/>
      <c r="E10" s="179" t="s">
        <v>21</v>
      </c>
      <c r="F10" s="179" t="s">
        <v>22</v>
      </c>
      <c r="G10" s="179" t="s">
        <v>23</v>
      </c>
      <c r="H10" s="179" t="s">
        <v>24</v>
      </c>
      <c r="I10" s="179" t="s">
        <v>25</v>
      </c>
      <c r="J10" s="179" t="s">
        <v>26</v>
      </c>
      <c r="K10" s="179" t="s">
        <v>27</v>
      </c>
      <c r="L10" s="179" t="s">
        <v>28</v>
      </c>
      <c r="M10" s="179" t="s">
        <v>29</v>
      </c>
      <c r="N10" s="179" t="s">
        <v>30</v>
      </c>
      <c r="O10" s="179" t="s">
        <v>31</v>
      </c>
      <c r="P10" s="179" t="s">
        <v>32</v>
      </c>
      <c r="Q10" s="721"/>
      <c r="R10" s="719"/>
      <c r="S10" s="720"/>
      <c r="T10" s="11"/>
    </row>
    <row r="11" spans="1:23" s="182" customFormat="1" ht="32.1" customHeight="1">
      <c r="A11" s="404" t="s">
        <v>3764</v>
      </c>
      <c r="B11" s="301" t="s">
        <v>2516</v>
      </c>
      <c r="C11" s="328" t="s">
        <v>2517</v>
      </c>
      <c r="D11" s="418">
        <v>58</v>
      </c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>
        <v>97.3</v>
      </c>
      <c r="P11" s="407"/>
      <c r="Q11" s="321">
        <f t="shared" ref="Q11:Q32" si="0">AVERAGE(E11:P11)</f>
        <v>97.3</v>
      </c>
      <c r="R11" s="321" t="str">
        <f t="shared" ref="R11:R76" si="1">IF(Q11&lt;5,"SI","NO")</f>
        <v>NO</v>
      </c>
      <c r="S11" s="321" t="str">
        <f>IF(Q11&lt;=5,"Sin Riesgo",IF(Q11 &lt;=14,"Bajo",IF(Q11&lt;=35,"Medio",IF(Q11&lt;=80,"Alto","Inviable Sanitariamente"))))</f>
        <v>Inviable Sanitariamente</v>
      </c>
      <c r="T11" s="11"/>
    </row>
    <row r="12" spans="1:23" s="180" customFormat="1" ht="32.1" customHeight="1">
      <c r="A12" s="562" t="s">
        <v>3764</v>
      </c>
      <c r="B12" s="562" t="s">
        <v>2518</v>
      </c>
      <c r="C12" s="585" t="s">
        <v>2519</v>
      </c>
      <c r="D12" s="317">
        <v>50</v>
      </c>
      <c r="E12" s="339"/>
      <c r="F12" s="339"/>
      <c r="G12" s="339"/>
      <c r="H12" s="339"/>
      <c r="I12" s="339">
        <v>97.3</v>
      </c>
      <c r="J12" s="339"/>
      <c r="K12" s="339"/>
      <c r="L12" s="339"/>
      <c r="M12" s="339"/>
      <c r="N12" s="339"/>
      <c r="O12" s="339"/>
      <c r="P12" s="339"/>
      <c r="Q12" s="321">
        <f t="shared" si="0"/>
        <v>97.3</v>
      </c>
      <c r="R12" s="48" t="str">
        <f t="shared" si="1"/>
        <v>NO</v>
      </c>
      <c r="S12" s="321" t="str">
        <f t="shared" ref="S12:S77" si="2">IF(Q12&lt;=5,"Sin Riesgo",IF(Q12 &lt;=14,"Bajo",IF(Q12&lt;=35,"Medio",IF(Q12&lt;=80,"Alto","Inviable Sanitariamente"))))</f>
        <v>Inviable Sanitariamente</v>
      </c>
    </row>
    <row r="13" spans="1:23" s="180" customFormat="1" ht="32.1" customHeight="1">
      <c r="A13" s="562" t="s">
        <v>3764</v>
      </c>
      <c r="B13" s="562" t="s">
        <v>1248</v>
      </c>
      <c r="C13" s="585" t="s">
        <v>2520</v>
      </c>
      <c r="D13" s="317">
        <v>24</v>
      </c>
      <c r="E13" s="339"/>
      <c r="F13" s="339"/>
      <c r="G13" s="339"/>
      <c r="H13" s="339"/>
      <c r="I13" s="339"/>
      <c r="J13" s="339"/>
      <c r="K13" s="339">
        <v>97.3</v>
      </c>
      <c r="L13" s="339"/>
      <c r="M13" s="339"/>
      <c r="N13" s="339"/>
      <c r="O13" s="339"/>
      <c r="P13" s="339"/>
      <c r="Q13" s="321">
        <f t="shared" si="0"/>
        <v>97.3</v>
      </c>
      <c r="R13" s="48" t="str">
        <f t="shared" si="1"/>
        <v>NO</v>
      </c>
      <c r="S13" s="321" t="str">
        <f t="shared" si="2"/>
        <v>Inviable Sanitariamente</v>
      </c>
    </row>
    <row r="14" spans="1:23" s="180" customFormat="1" ht="32.1" customHeight="1">
      <c r="A14" s="562" t="s">
        <v>3764</v>
      </c>
      <c r="B14" s="562" t="s">
        <v>2521</v>
      </c>
      <c r="C14" s="585" t="s">
        <v>2522</v>
      </c>
      <c r="D14" s="317">
        <v>12</v>
      </c>
      <c r="E14" s="339"/>
      <c r="F14" s="339"/>
      <c r="G14" s="339"/>
      <c r="H14" s="339"/>
      <c r="I14" s="339"/>
      <c r="J14" s="339"/>
      <c r="K14" s="339"/>
      <c r="L14" s="339"/>
      <c r="M14" s="339">
        <v>97.3</v>
      </c>
      <c r="N14" s="339"/>
      <c r="O14" s="339"/>
      <c r="P14" s="339"/>
      <c r="Q14" s="321">
        <f t="shared" si="0"/>
        <v>97.3</v>
      </c>
      <c r="R14" s="48" t="str">
        <f t="shared" si="1"/>
        <v>NO</v>
      </c>
      <c r="S14" s="321" t="str">
        <f t="shared" si="2"/>
        <v>Inviable Sanitariamente</v>
      </c>
    </row>
    <row r="15" spans="1:23" s="180" customFormat="1" ht="32.1" customHeight="1">
      <c r="A15" s="562" t="s">
        <v>3764</v>
      </c>
      <c r="B15" s="562" t="s">
        <v>2523</v>
      </c>
      <c r="C15" s="585" t="s">
        <v>2524</v>
      </c>
      <c r="D15" s="317">
        <v>39</v>
      </c>
      <c r="E15" s="339"/>
      <c r="F15" s="339"/>
      <c r="G15" s="339"/>
      <c r="H15" s="339"/>
      <c r="I15" s="339"/>
      <c r="J15" s="339"/>
      <c r="K15" s="339">
        <v>97.3</v>
      </c>
      <c r="L15" s="339"/>
      <c r="M15" s="339"/>
      <c r="N15" s="339"/>
      <c r="O15" s="339"/>
      <c r="P15" s="339"/>
      <c r="Q15" s="321">
        <f t="shared" si="0"/>
        <v>97.3</v>
      </c>
      <c r="R15" s="48" t="str">
        <f t="shared" si="1"/>
        <v>NO</v>
      </c>
      <c r="S15" s="321" t="str">
        <f t="shared" si="2"/>
        <v>Inviable Sanitariamente</v>
      </c>
    </row>
    <row r="16" spans="1:23" s="180" customFormat="1" ht="32.1" customHeight="1">
      <c r="A16" s="562" t="s">
        <v>3764</v>
      </c>
      <c r="B16" s="562" t="s">
        <v>2525</v>
      </c>
      <c r="C16" s="585" t="s">
        <v>2526</v>
      </c>
      <c r="D16" s="317">
        <v>31</v>
      </c>
      <c r="E16" s="339"/>
      <c r="F16" s="339"/>
      <c r="G16" s="339"/>
      <c r="H16" s="339"/>
      <c r="I16" s="339">
        <v>97.3</v>
      </c>
      <c r="J16" s="590"/>
      <c r="K16" s="339"/>
      <c r="L16" s="339"/>
      <c r="M16" s="339"/>
      <c r="N16" s="339"/>
      <c r="O16" s="339"/>
      <c r="P16" s="339"/>
      <c r="Q16" s="321">
        <f t="shared" si="0"/>
        <v>97.3</v>
      </c>
      <c r="R16" s="48" t="str">
        <f t="shared" si="1"/>
        <v>NO</v>
      </c>
      <c r="S16" s="321" t="str">
        <f t="shared" si="2"/>
        <v>Inviable Sanitariamente</v>
      </c>
    </row>
    <row r="17" spans="1:19" s="180" customFormat="1" ht="32.1" customHeight="1">
      <c r="A17" s="564" t="s">
        <v>3764</v>
      </c>
      <c r="B17" s="562" t="s">
        <v>1022</v>
      </c>
      <c r="C17" s="585" t="s">
        <v>2527</v>
      </c>
      <c r="D17" s="346">
        <v>18</v>
      </c>
      <c r="E17" s="47"/>
      <c r="F17" s="47"/>
      <c r="G17" s="47"/>
      <c r="H17" s="47"/>
      <c r="I17" s="47"/>
      <c r="J17" s="47"/>
      <c r="K17" s="47"/>
      <c r="L17" s="47"/>
      <c r="M17" s="528"/>
      <c r="N17" s="407"/>
      <c r="O17" s="407">
        <v>97.3</v>
      </c>
      <c r="P17" s="407"/>
      <c r="Q17" s="321">
        <f t="shared" si="0"/>
        <v>97.3</v>
      </c>
      <c r="R17" s="48" t="str">
        <f t="shared" si="1"/>
        <v>NO</v>
      </c>
      <c r="S17" s="321" t="str">
        <f t="shared" si="2"/>
        <v>Inviable Sanitariamente</v>
      </c>
    </row>
    <row r="18" spans="1:19" s="180" customFormat="1" ht="32.1" customHeight="1">
      <c r="A18" s="562" t="s">
        <v>3765</v>
      </c>
      <c r="B18" s="562" t="s">
        <v>2528</v>
      </c>
      <c r="C18" s="585" t="s">
        <v>2529</v>
      </c>
      <c r="D18" s="304">
        <v>42</v>
      </c>
      <c r="E18" s="339"/>
      <c r="F18" s="339"/>
      <c r="G18" s="339">
        <v>97</v>
      </c>
      <c r="H18" s="339"/>
      <c r="I18" s="339"/>
      <c r="J18" s="339"/>
      <c r="K18" s="339"/>
      <c r="L18" s="339"/>
      <c r="M18" s="531"/>
      <c r="N18" s="339"/>
      <c r="O18" s="339"/>
      <c r="P18" s="339"/>
      <c r="Q18" s="321">
        <f t="shared" si="0"/>
        <v>97</v>
      </c>
      <c r="R18" s="48" t="str">
        <f t="shared" si="1"/>
        <v>NO</v>
      </c>
      <c r="S18" s="321" t="str">
        <f t="shared" si="2"/>
        <v>Inviable Sanitariamente</v>
      </c>
    </row>
    <row r="19" spans="1:19" s="180" customFormat="1" ht="32.1" customHeight="1">
      <c r="A19" s="564" t="s">
        <v>3765</v>
      </c>
      <c r="B19" s="562" t="s">
        <v>234</v>
      </c>
      <c r="C19" s="586" t="s">
        <v>2530</v>
      </c>
      <c r="D19" s="346">
        <v>125</v>
      </c>
      <c r="E19" s="47"/>
      <c r="F19" s="47"/>
      <c r="G19" s="47">
        <v>96.38</v>
      </c>
      <c r="H19" s="47"/>
      <c r="I19" s="47"/>
      <c r="J19" s="47"/>
      <c r="K19" s="47"/>
      <c r="L19" s="47"/>
      <c r="M19" s="528"/>
      <c r="N19" s="407"/>
      <c r="O19" s="407"/>
      <c r="P19" s="407"/>
      <c r="Q19" s="321">
        <f t="shared" si="0"/>
        <v>96.38</v>
      </c>
      <c r="R19" s="48" t="str">
        <f t="shared" si="1"/>
        <v>NO</v>
      </c>
      <c r="S19" s="321" t="str">
        <f t="shared" si="2"/>
        <v>Inviable Sanitariamente</v>
      </c>
    </row>
    <row r="20" spans="1:19" s="180" customFormat="1" ht="32.1" customHeight="1">
      <c r="A20" s="562" t="s">
        <v>3765</v>
      </c>
      <c r="B20" s="562" t="s">
        <v>2531</v>
      </c>
      <c r="C20" s="562" t="s">
        <v>2532</v>
      </c>
      <c r="D20" s="304">
        <v>49</v>
      </c>
      <c r="E20" s="339"/>
      <c r="F20" s="339"/>
      <c r="G20" s="339">
        <v>97</v>
      </c>
      <c r="H20" s="339"/>
      <c r="I20" s="339"/>
      <c r="J20" s="339"/>
      <c r="K20" s="339"/>
      <c r="L20" s="339"/>
      <c r="M20" s="531"/>
      <c r="N20" s="339"/>
      <c r="O20" s="339"/>
      <c r="P20" s="339"/>
      <c r="Q20" s="321">
        <f t="shared" si="0"/>
        <v>97</v>
      </c>
      <c r="R20" s="48" t="str">
        <f t="shared" si="1"/>
        <v>NO</v>
      </c>
      <c r="S20" s="321" t="str">
        <f t="shared" si="2"/>
        <v>Inviable Sanitariamente</v>
      </c>
    </row>
    <row r="21" spans="1:19" s="180" customFormat="1" ht="32.1" customHeight="1">
      <c r="A21" s="562" t="s">
        <v>3765</v>
      </c>
      <c r="B21" s="562" t="s">
        <v>2533</v>
      </c>
      <c r="C21" s="562" t="s">
        <v>2534</v>
      </c>
      <c r="D21" s="304">
        <v>285</v>
      </c>
      <c r="E21" s="339"/>
      <c r="F21" s="339">
        <v>0</v>
      </c>
      <c r="G21" s="339">
        <v>0</v>
      </c>
      <c r="H21" s="339">
        <v>0</v>
      </c>
      <c r="I21" s="339">
        <v>0</v>
      </c>
      <c r="J21" s="339"/>
      <c r="K21" s="339"/>
      <c r="L21" s="339"/>
      <c r="M21" s="339"/>
      <c r="N21" s="339"/>
      <c r="O21" s="339"/>
      <c r="P21" s="339"/>
      <c r="Q21" s="321">
        <f t="shared" si="0"/>
        <v>0</v>
      </c>
      <c r="R21" s="48" t="str">
        <f t="shared" si="1"/>
        <v>SI</v>
      </c>
      <c r="S21" s="321" t="str">
        <f t="shared" si="2"/>
        <v>Sin Riesgo</v>
      </c>
    </row>
    <row r="22" spans="1:19" s="180" customFormat="1" ht="32.1" customHeight="1">
      <c r="A22" s="562" t="s">
        <v>3765</v>
      </c>
      <c r="B22" s="562" t="s">
        <v>2535</v>
      </c>
      <c r="C22" s="562" t="s">
        <v>2536</v>
      </c>
      <c r="D22" s="304">
        <v>48</v>
      </c>
      <c r="E22" s="339"/>
      <c r="F22" s="339"/>
      <c r="G22" s="339"/>
      <c r="H22" s="339">
        <v>97</v>
      </c>
      <c r="I22" s="339"/>
      <c r="J22" s="339"/>
      <c r="K22" s="339"/>
      <c r="L22" s="339"/>
      <c r="M22" s="339"/>
      <c r="N22" s="339"/>
      <c r="O22" s="339"/>
      <c r="P22" s="339"/>
      <c r="Q22" s="321">
        <f t="shared" si="0"/>
        <v>97</v>
      </c>
      <c r="R22" s="48" t="str">
        <f t="shared" si="1"/>
        <v>NO</v>
      </c>
      <c r="S22" s="321" t="str">
        <f t="shared" si="2"/>
        <v>Inviable Sanitariamente</v>
      </c>
    </row>
    <row r="23" spans="1:19" s="180" customFormat="1" ht="32.1" customHeight="1">
      <c r="A23" s="562" t="s">
        <v>3765</v>
      </c>
      <c r="B23" s="562" t="s">
        <v>2537</v>
      </c>
      <c r="C23" s="562" t="s">
        <v>2538</v>
      </c>
      <c r="D23" s="304">
        <v>72</v>
      </c>
      <c r="E23" s="339"/>
      <c r="F23" s="339">
        <v>97</v>
      </c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21">
        <f t="shared" si="0"/>
        <v>97</v>
      </c>
      <c r="R23" s="48" t="str">
        <f t="shared" si="1"/>
        <v>NO</v>
      </c>
      <c r="S23" s="321" t="str">
        <f t="shared" si="2"/>
        <v>Inviable Sanitariamente</v>
      </c>
    </row>
    <row r="24" spans="1:19" s="180" customFormat="1" ht="32.1" customHeight="1">
      <c r="A24" s="562" t="s">
        <v>3765</v>
      </c>
      <c r="B24" s="562" t="s">
        <v>2539</v>
      </c>
      <c r="C24" s="562" t="s">
        <v>2540</v>
      </c>
      <c r="D24" s="304">
        <v>52</v>
      </c>
      <c r="E24" s="339"/>
      <c r="F24" s="339"/>
      <c r="G24" s="339"/>
      <c r="H24" s="339">
        <v>97</v>
      </c>
      <c r="I24" s="339"/>
      <c r="J24" s="339"/>
      <c r="K24" s="339"/>
      <c r="L24" s="339"/>
      <c r="M24" s="339"/>
      <c r="N24" s="339"/>
      <c r="O24" s="339"/>
      <c r="P24" s="339"/>
      <c r="Q24" s="321">
        <f t="shared" si="0"/>
        <v>97</v>
      </c>
      <c r="R24" s="48" t="str">
        <f t="shared" si="1"/>
        <v>NO</v>
      </c>
      <c r="S24" s="321" t="str">
        <f t="shared" si="2"/>
        <v>Inviable Sanitariamente</v>
      </c>
    </row>
    <row r="25" spans="1:19" s="180" customFormat="1" ht="32.1" customHeight="1">
      <c r="A25" s="562" t="s">
        <v>3765</v>
      </c>
      <c r="B25" s="562" t="s">
        <v>2541</v>
      </c>
      <c r="C25" s="562" t="s">
        <v>2542</v>
      </c>
      <c r="D25" s="304">
        <v>137</v>
      </c>
      <c r="E25" s="339"/>
      <c r="F25" s="339"/>
      <c r="G25" s="339"/>
      <c r="H25" s="339"/>
      <c r="I25" s="339">
        <v>97</v>
      </c>
      <c r="J25" s="339"/>
      <c r="K25" s="339"/>
      <c r="L25" s="339"/>
      <c r="M25" s="339"/>
      <c r="N25" s="339"/>
      <c r="O25" s="339"/>
      <c r="P25" s="339"/>
      <c r="Q25" s="321">
        <f t="shared" si="0"/>
        <v>97</v>
      </c>
      <c r="R25" s="48" t="str">
        <f t="shared" si="1"/>
        <v>NO</v>
      </c>
      <c r="S25" s="321" t="str">
        <f t="shared" si="2"/>
        <v>Inviable Sanitariamente</v>
      </c>
    </row>
    <row r="26" spans="1:19" s="180" customFormat="1" ht="32.1" customHeight="1">
      <c r="A26" s="564" t="s">
        <v>3765</v>
      </c>
      <c r="B26" s="562" t="s">
        <v>1690</v>
      </c>
      <c r="C26" s="562" t="s">
        <v>2543</v>
      </c>
      <c r="D26" s="418">
        <v>44</v>
      </c>
      <c r="E26" s="407"/>
      <c r="F26" s="407"/>
      <c r="G26" s="407"/>
      <c r="H26" s="407">
        <v>96.38</v>
      </c>
      <c r="I26" s="407"/>
      <c r="J26" s="407"/>
      <c r="K26" s="407"/>
      <c r="L26" s="407"/>
      <c r="M26" s="407"/>
      <c r="N26" s="407"/>
      <c r="O26" s="407"/>
      <c r="P26" s="407"/>
      <c r="Q26" s="321">
        <f t="shared" si="0"/>
        <v>96.38</v>
      </c>
      <c r="R26" s="48" t="str">
        <f t="shared" si="1"/>
        <v>NO</v>
      </c>
      <c r="S26" s="321" t="str">
        <f t="shared" si="2"/>
        <v>Inviable Sanitariamente</v>
      </c>
    </row>
    <row r="27" spans="1:19" s="180" customFormat="1" ht="32.1" customHeight="1">
      <c r="A27" s="562" t="s">
        <v>3765</v>
      </c>
      <c r="B27" s="562" t="s">
        <v>2544</v>
      </c>
      <c r="C27" s="562" t="s">
        <v>2545</v>
      </c>
      <c r="D27" s="304">
        <v>78</v>
      </c>
      <c r="E27" s="339"/>
      <c r="F27" s="339"/>
      <c r="G27" s="339">
        <v>97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21">
        <f t="shared" si="0"/>
        <v>97</v>
      </c>
      <c r="R27" s="48" t="str">
        <f t="shared" si="1"/>
        <v>NO</v>
      </c>
      <c r="S27" s="321" t="str">
        <f t="shared" si="2"/>
        <v>Inviable Sanitariamente</v>
      </c>
    </row>
    <row r="28" spans="1:19" s="180" customFormat="1" ht="32.1" customHeight="1">
      <c r="A28" s="562" t="s">
        <v>3765</v>
      </c>
      <c r="B28" s="562" t="s">
        <v>88</v>
      </c>
      <c r="C28" s="562" t="s">
        <v>2546</v>
      </c>
      <c r="D28" s="304">
        <v>81</v>
      </c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21"/>
      <c r="R28" s="48"/>
      <c r="S28" s="321"/>
    </row>
    <row r="29" spans="1:19" s="180" customFormat="1" ht="32.1" customHeight="1">
      <c r="A29" s="562" t="s">
        <v>3765</v>
      </c>
      <c r="B29" s="562" t="s">
        <v>10</v>
      </c>
      <c r="C29" s="562" t="s">
        <v>2547</v>
      </c>
      <c r="D29" s="304">
        <v>75</v>
      </c>
      <c r="E29" s="339"/>
      <c r="F29" s="339">
        <v>97</v>
      </c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21">
        <f t="shared" si="0"/>
        <v>97</v>
      </c>
      <c r="R29" s="48" t="str">
        <f t="shared" si="1"/>
        <v>NO</v>
      </c>
      <c r="S29" s="321" t="str">
        <f t="shared" si="2"/>
        <v>Inviable Sanitariamente</v>
      </c>
    </row>
    <row r="30" spans="1:19" s="180" customFormat="1" ht="32.1" customHeight="1">
      <c r="A30" s="404" t="s">
        <v>3765</v>
      </c>
      <c r="B30" s="301" t="s">
        <v>2343</v>
      </c>
      <c r="C30" s="324" t="s">
        <v>4452</v>
      </c>
      <c r="D30" s="346">
        <v>25</v>
      </c>
      <c r="E30" s="47"/>
      <c r="F30" s="47"/>
      <c r="G30" s="47"/>
      <c r="H30" s="47"/>
      <c r="I30" s="47"/>
      <c r="J30" s="47">
        <v>96.39</v>
      </c>
      <c r="K30" s="47"/>
      <c r="L30" s="47"/>
      <c r="M30" s="47"/>
      <c r="N30" s="528"/>
      <c r="O30" s="407"/>
      <c r="P30" s="407"/>
      <c r="Q30" s="321">
        <f t="shared" si="0"/>
        <v>96.39</v>
      </c>
      <c r="R30" s="48" t="str">
        <f t="shared" si="1"/>
        <v>NO</v>
      </c>
      <c r="S30" s="321" t="str">
        <f t="shared" si="2"/>
        <v>Inviable Sanitariamente</v>
      </c>
    </row>
    <row r="31" spans="1:19" s="180" customFormat="1" ht="32.1" customHeight="1">
      <c r="A31" s="562" t="s">
        <v>3765</v>
      </c>
      <c r="B31" s="562" t="s">
        <v>2035</v>
      </c>
      <c r="C31" s="562" t="s">
        <v>2548</v>
      </c>
      <c r="D31" s="304">
        <v>98</v>
      </c>
      <c r="E31" s="339"/>
      <c r="F31" s="339">
        <v>97</v>
      </c>
      <c r="G31" s="339"/>
      <c r="H31" s="339"/>
      <c r="I31" s="339"/>
      <c r="J31" s="339"/>
      <c r="K31" s="339"/>
      <c r="L31" s="339"/>
      <c r="M31" s="339"/>
      <c r="N31" s="531"/>
      <c r="O31" s="339"/>
      <c r="P31" s="339"/>
      <c r="Q31" s="321">
        <f t="shared" si="0"/>
        <v>97</v>
      </c>
      <c r="R31" s="48" t="str">
        <f t="shared" si="1"/>
        <v>NO</v>
      </c>
      <c r="S31" s="321" t="str">
        <f t="shared" si="2"/>
        <v>Inviable Sanitariamente</v>
      </c>
    </row>
    <row r="32" spans="1:19" s="180" customFormat="1" ht="32.1" customHeight="1">
      <c r="A32" s="564" t="s">
        <v>3765</v>
      </c>
      <c r="B32" s="562" t="s">
        <v>2549</v>
      </c>
      <c r="C32" s="562" t="s">
        <v>2550</v>
      </c>
      <c r="D32" s="418">
        <v>68</v>
      </c>
      <c r="E32" s="407"/>
      <c r="F32" s="407"/>
      <c r="G32" s="407">
        <v>96.38</v>
      </c>
      <c r="H32" s="407"/>
      <c r="I32" s="407"/>
      <c r="J32" s="407"/>
      <c r="K32" s="407"/>
      <c r="L32" s="407"/>
      <c r="M32" s="407"/>
      <c r="N32" s="407"/>
      <c r="O32" s="407"/>
      <c r="P32" s="407"/>
      <c r="Q32" s="321">
        <f t="shared" si="0"/>
        <v>96.38</v>
      </c>
      <c r="R32" s="48" t="str">
        <f t="shared" si="1"/>
        <v>NO</v>
      </c>
      <c r="S32" s="321" t="str">
        <f t="shared" si="2"/>
        <v>Inviable Sanitariamente</v>
      </c>
    </row>
    <row r="33" spans="1:19" s="180" customFormat="1" ht="32.1" customHeight="1">
      <c r="A33" s="562" t="s">
        <v>3765</v>
      </c>
      <c r="B33" s="562" t="s">
        <v>1708</v>
      </c>
      <c r="C33" s="562" t="s">
        <v>2529</v>
      </c>
      <c r="D33" s="304">
        <v>31</v>
      </c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21"/>
      <c r="R33" s="48"/>
      <c r="S33" s="321"/>
    </row>
    <row r="34" spans="1:19" s="180" customFormat="1" ht="32.1" customHeight="1">
      <c r="A34" s="562" t="s">
        <v>3765</v>
      </c>
      <c r="B34" s="562" t="s">
        <v>2551</v>
      </c>
      <c r="C34" s="562" t="s">
        <v>2552</v>
      </c>
      <c r="D34" s="304">
        <v>113</v>
      </c>
      <c r="E34" s="339"/>
      <c r="F34" s="339"/>
      <c r="G34" s="339">
        <v>97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21">
        <f>AVERAGE(F34:P34)</f>
        <v>97</v>
      </c>
      <c r="R34" s="48" t="str">
        <f t="shared" si="1"/>
        <v>NO</v>
      </c>
      <c r="S34" s="321" t="str">
        <f t="shared" si="2"/>
        <v>Inviable Sanitariamente</v>
      </c>
    </row>
    <row r="35" spans="1:19" s="180" customFormat="1" ht="32.1" customHeight="1">
      <c r="A35" s="562" t="s">
        <v>3765</v>
      </c>
      <c r="B35" s="562" t="s">
        <v>2553</v>
      </c>
      <c r="C35" s="562" t="s">
        <v>2554</v>
      </c>
      <c r="D35" s="304">
        <v>70</v>
      </c>
      <c r="E35" s="339"/>
      <c r="F35" s="339">
        <v>97</v>
      </c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21">
        <f t="shared" ref="Q35:Q106" si="3">AVERAGE(E35:P35)</f>
        <v>97</v>
      </c>
      <c r="R35" s="48" t="str">
        <f t="shared" si="1"/>
        <v>NO</v>
      </c>
      <c r="S35" s="321" t="str">
        <f t="shared" si="2"/>
        <v>Inviable Sanitariamente</v>
      </c>
    </row>
    <row r="36" spans="1:19" s="180" customFormat="1" ht="32.1" customHeight="1">
      <c r="A36" s="562" t="s">
        <v>3765</v>
      </c>
      <c r="B36" s="587" t="s">
        <v>2343</v>
      </c>
      <c r="C36" s="588" t="s">
        <v>4451</v>
      </c>
      <c r="D36" s="418">
        <v>19</v>
      </c>
      <c r="E36" s="407"/>
      <c r="F36" s="407"/>
      <c r="G36" s="407"/>
      <c r="H36" s="407"/>
      <c r="I36" s="407"/>
      <c r="J36" s="407">
        <v>96.39</v>
      </c>
      <c r="K36" s="407"/>
      <c r="L36" s="407"/>
      <c r="M36" s="407"/>
      <c r="N36" s="407"/>
      <c r="O36" s="407"/>
      <c r="P36" s="407"/>
      <c r="Q36" s="321"/>
      <c r="R36" s="48"/>
      <c r="S36" s="321"/>
    </row>
    <row r="37" spans="1:19" s="180" customFormat="1" ht="32.1" customHeight="1">
      <c r="A37" s="404" t="s">
        <v>85</v>
      </c>
      <c r="B37" s="302" t="s">
        <v>4193</v>
      </c>
      <c r="C37" s="302" t="s">
        <v>4194</v>
      </c>
      <c r="D37" s="346">
        <v>55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>
        <v>88</v>
      </c>
      <c r="P37" s="47"/>
      <c r="Q37" s="321">
        <f t="shared" si="3"/>
        <v>88</v>
      </c>
      <c r="R37" s="321" t="str">
        <f t="shared" si="1"/>
        <v>NO</v>
      </c>
      <c r="S37" s="321" t="str">
        <f t="shared" si="2"/>
        <v>Inviable Sanitariamente</v>
      </c>
    </row>
    <row r="38" spans="1:19" s="180" customFormat="1" ht="32.1" customHeight="1">
      <c r="A38" s="404" t="s">
        <v>85</v>
      </c>
      <c r="B38" s="302" t="s">
        <v>4195</v>
      </c>
      <c r="C38" s="302" t="s">
        <v>4196</v>
      </c>
      <c r="D38" s="346">
        <v>132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>
        <v>88</v>
      </c>
      <c r="P38" s="47"/>
      <c r="Q38" s="321">
        <f t="shared" si="3"/>
        <v>88</v>
      </c>
      <c r="R38" s="321" t="str">
        <f t="shared" si="1"/>
        <v>NO</v>
      </c>
      <c r="S38" s="321" t="str">
        <f t="shared" si="2"/>
        <v>Inviable Sanitariamente</v>
      </c>
    </row>
    <row r="39" spans="1:19" s="180" customFormat="1" ht="32.1" customHeight="1">
      <c r="A39" s="404" t="s">
        <v>85</v>
      </c>
      <c r="B39" s="302" t="s">
        <v>4197</v>
      </c>
      <c r="C39" s="302" t="s">
        <v>4198</v>
      </c>
      <c r="D39" s="346">
        <v>56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89</v>
      </c>
      <c r="P39" s="47"/>
      <c r="Q39" s="321">
        <f t="shared" si="3"/>
        <v>89</v>
      </c>
      <c r="R39" s="321" t="str">
        <f t="shared" si="1"/>
        <v>NO</v>
      </c>
      <c r="S39" s="321" t="str">
        <f t="shared" si="2"/>
        <v>Inviable Sanitariamente</v>
      </c>
    </row>
    <row r="40" spans="1:19" s="180" customFormat="1" ht="32.1" customHeight="1">
      <c r="A40" s="404" t="s">
        <v>85</v>
      </c>
      <c r="B40" s="302" t="s">
        <v>4199</v>
      </c>
      <c r="C40" s="302" t="s">
        <v>4200</v>
      </c>
      <c r="D40" s="346">
        <v>36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>
        <v>88</v>
      </c>
      <c r="P40" s="47"/>
      <c r="Q40" s="321">
        <f t="shared" si="3"/>
        <v>88</v>
      </c>
      <c r="R40" s="321" t="str">
        <f t="shared" si="1"/>
        <v>NO</v>
      </c>
      <c r="S40" s="321" t="str">
        <f t="shared" si="2"/>
        <v>Inviable Sanitariamente</v>
      </c>
    </row>
    <row r="41" spans="1:19" s="180" customFormat="1" ht="32.1" customHeight="1">
      <c r="A41" s="562" t="s">
        <v>2556</v>
      </c>
      <c r="B41" s="563" t="s">
        <v>2557</v>
      </c>
      <c r="C41" s="563" t="s">
        <v>2558</v>
      </c>
      <c r="D41" s="304">
        <v>75</v>
      </c>
      <c r="E41" s="339"/>
      <c r="F41" s="339"/>
      <c r="G41" s="339"/>
      <c r="H41" s="339"/>
      <c r="I41" s="339"/>
      <c r="J41" s="339"/>
      <c r="K41" s="339"/>
      <c r="L41" s="339"/>
      <c r="M41" s="339"/>
      <c r="N41" s="339">
        <v>53.1</v>
      </c>
      <c r="O41" s="339"/>
      <c r="P41" s="339"/>
      <c r="Q41" s="321">
        <f t="shared" si="3"/>
        <v>53.1</v>
      </c>
      <c r="R41" s="321" t="str">
        <f t="shared" si="1"/>
        <v>NO</v>
      </c>
      <c r="S41" s="321" t="str">
        <f t="shared" si="2"/>
        <v>Alto</v>
      </c>
    </row>
    <row r="42" spans="1:19" s="180" customFormat="1" ht="32.1" customHeight="1">
      <c r="A42" s="562" t="s">
        <v>2556</v>
      </c>
      <c r="B42" s="563" t="s">
        <v>2559</v>
      </c>
      <c r="C42" s="563" t="s">
        <v>2560</v>
      </c>
      <c r="D42" s="304">
        <v>125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>
        <v>97.35</v>
      </c>
      <c r="O42" s="339"/>
      <c r="P42" s="339"/>
      <c r="Q42" s="321">
        <f t="shared" si="3"/>
        <v>97.35</v>
      </c>
      <c r="R42" s="321" t="str">
        <f t="shared" si="1"/>
        <v>NO</v>
      </c>
      <c r="S42" s="321" t="str">
        <f t="shared" si="2"/>
        <v>Inviable Sanitariamente</v>
      </c>
    </row>
    <row r="43" spans="1:19" s="180" customFormat="1" ht="32.1" customHeight="1">
      <c r="A43" s="562" t="s">
        <v>2556</v>
      </c>
      <c r="B43" s="563" t="s">
        <v>2561</v>
      </c>
      <c r="C43" s="563" t="s">
        <v>2562</v>
      </c>
      <c r="D43" s="304">
        <v>70</v>
      </c>
      <c r="E43" s="339"/>
      <c r="F43" s="339"/>
      <c r="G43" s="339"/>
      <c r="H43" s="339"/>
      <c r="I43" s="339"/>
      <c r="J43" s="339"/>
      <c r="K43" s="339"/>
      <c r="L43" s="339">
        <v>97.3</v>
      </c>
      <c r="M43" s="339"/>
      <c r="N43" s="339"/>
      <c r="O43" s="339"/>
      <c r="P43" s="339"/>
      <c r="Q43" s="321">
        <f t="shared" si="3"/>
        <v>97.3</v>
      </c>
      <c r="R43" s="321" t="str">
        <f t="shared" si="1"/>
        <v>NO</v>
      </c>
      <c r="S43" s="321" t="str">
        <f t="shared" si="2"/>
        <v>Inviable Sanitariamente</v>
      </c>
    </row>
    <row r="44" spans="1:19" s="180" customFormat="1" ht="32.1" customHeight="1">
      <c r="A44" s="562" t="s">
        <v>2556</v>
      </c>
      <c r="B44" s="563" t="s">
        <v>2563</v>
      </c>
      <c r="C44" s="563" t="s">
        <v>2564</v>
      </c>
      <c r="D44" s="304">
        <v>52</v>
      </c>
      <c r="E44" s="339"/>
      <c r="F44" s="339"/>
      <c r="G44" s="339"/>
      <c r="H44" s="339"/>
      <c r="I44" s="339"/>
      <c r="J44" s="339"/>
      <c r="K44" s="339">
        <v>97.35</v>
      </c>
      <c r="L44" s="339"/>
      <c r="M44" s="339"/>
      <c r="N44" s="339"/>
      <c r="O44" s="339"/>
      <c r="P44" s="339"/>
      <c r="Q44" s="321">
        <f t="shared" si="3"/>
        <v>97.35</v>
      </c>
      <c r="R44" s="321" t="str">
        <f t="shared" si="1"/>
        <v>NO</v>
      </c>
      <c r="S44" s="321" t="str">
        <f t="shared" si="2"/>
        <v>Inviable Sanitariamente</v>
      </c>
    </row>
    <row r="45" spans="1:19" s="180" customFormat="1" ht="32.1" customHeight="1">
      <c r="A45" s="562" t="s">
        <v>2556</v>
      </c>
      <c r="B45" s="563" t="s">
        <v>2565</v>
      </c>
      <c r="C45" s="563" t="s">
        <v>2566</v>
      </c>
      <c r="D45" s="304">
        <v>42</v>
      </c>
      <c r="E45" s="339"/>
      <c r="F45" s="339">
        <v>97.35</v>
      </c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21">
        <f t="shared" si="3"/>
        <v>97.35</v>
      </c>
      <c r="R45" s="321" t="str">
        <f t="shared" si="1"/>
        <v>NO</v>
      </c>
      <c r="S45" s="321" t="str">
        <f t="shared" si="2"/>
        <v>Inviable Sanitariamente</v>
      </c>
    </row>
    <row r="46" spans="1:19" s="180" customFormat="1" ht="32.1" customHeight="1">
      <c r="A46" s="564" t="s">
        <v>2556</v>
      </c>
      <c r="B46" s="563" t="s">
        <v>2567</v>
      </c>
      <c r="C46" s="563" t="s">
        <v>2568</v>
      </c>
      <c r="D46" s="304">
        <v>7</v>
      </c>
      <c r="E46" s="47"/>
      <c r="F46" s="47"/>
      <c r="G46" s="47"/>
      <c r="H46" s="47"/>
      <c r="I46" s="47"/>
      <c r="J46" s="417">
        <v>97.6</v>
      </c>
      <c r="K46" s="407"/>
      <c r="L46" s="407"/>
      <c r="M46" s="407"/>
      <c r="N46" s="407"/>
      <c r="O46" s="407"/>
      <c r="P46" s="407"/>
      <c r="Q46" s="321">
        <f t="shared" si="3"/>
        <v>97.6</v>
      </c>
      <c r="R46" s="321" t="str">
        <f t="shared" si="1"/>
        <v>NO</v>
      </c>
      <c r="S46" s="321" t="str">
        <f t="shared" si="2"/>
        <v>Inviable Sanitariamente</v>
      </c>
    </row>
    <row r="47" spans="1:19" s="180" customFormat="1" ht="32.1" customHeight="1">
      <c r="A47" s="564" t="s">
        <v>2556</v>
      </c>
      <c r="B47" s="563" t="s">
        <v>1015</v>
      </c>
      <c r="C47" s="563" t="s">
        <v>2569</v>
      </c>
      <c r="D47" s="304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21"/>
      <c r="R47" s="321"/>
      <c r="S47" s="321"/>
    </row>
    <row r="48" spans="1:19" s="180" customFormat="1" ht="32.1" customHeight="1">
      <c r="A48" s="562" t="s">
        <v>2556</v>
      </c>
      <c r="B48" s="563" t="s">
        <v>2570</v>
      </c>
      <c r="C48" s="563" t="s">
        <v>2571</v>
      </c>
      <c r="D48" s="304">
        <v>73</v>
      </c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>
        <v>97.4</v>
      </c>
      <c r="P48" s="339"/>
      <c r="Q48" s="321">
        <f t="shared" si="3"/>
        <v>97.4</v>
      </c>
      <c r="R48" s="321" t="str">
        <f t="shared" si="1"/>
        <v>NO</v>
      </c>
      <c r="S48" s="321" t="str">
        <f t="shared" si="2"/>
        <v>Inviable Sanitariamente</v>
      </c>
    </row>
    <row r="49" spans="1:19" s="180" customFormat="1" ht="32.1" customHeight="1">
      <c r="A49" s="562" t="s">
        <v>2556</v>
      </c>
      <c r="B49" s="563" t="s">
        <v>2572</v>
      </c>
      <c r="C49" s="563" t="s">
        <v>2573</v>
      </c>
      <c r="D49" s="304">
        <v>47</v>
      </c>
      <c r="E49" s="339"/>
      <c r="F49" s="339"/>
      <c r="G49" s="339"/>
      <c r="H49" s="339">
        <v>97.35</v>
      </c>
      <c r="I49" s="339"/>
      <c r="J49" s="339"/>
      <c r="K49" s="339"/>
      <c r="L49" s="339"/>
      <c r="M49" s="339"/>
      <c r="N49" s="339"/>
      <c r="O49" s="339"/>
      <c r="P49" s="339"/>
      <c r="Q49" s="321">
        <f t="shared" si="3"/>
        <v>97.35</v>
      </c>
      <c r="R49" s="321" t="str">
        <f t="shared" si="1"/>
        <v>NO</v>
      </c>
      <c r="S49" s="321" t="str">
        <f t="shared" si="2"/>
        <v>Inviable Sanitariamente</v>
      </c>
    </row>
    <row r="50" spans="1:19" s="180" customFormat="1" ht="32.1" customHeight="1">
      <c r="A50" s="404" t="s">
        <v>2556</v>
      </c>
      <c r="B50" s="302" t="s">
        <v>2574</v>
      </c>
      <c r="C50" s="302" t="s">
        <v>2575</v>
      </c>
      <c r="D50" s="346">
        <v>24</v>
      </c>
      <c r="E50" s="47"/>
      <c r="F50" s="47"/>
      <c r="G50" s="47"/>
      <c r="H50" s="47"/>
      <c r="I50" s="47">
        <v>36.14</v>
      </c>
      <c r="J50" s="47"/>
      <c r="K50" s="47"/>
      <c r="L50" s="47"/>
      <c r="M50" s="47"/>
      <c r="N50" s="47"/>
      <c r="O50" s="47"/>
      <c r="P50" s="47"/>
      <c r="Q50" s="321">
        <f t="shared" si="3"/>
        <v>36.14</v>
      </c>
      <c r="R50" s="321" t="str">
        <f t="shared" si="1"/>
        <v>NO</v>
      </c>
      <c r="S50" s="321" t="str">
        <f t="shared" si="2"/>
        <v>Alto</v>
      </c>
    </row>
    <row r="51" spans="1:19" s="180" customFormat="1" ht="32.1" customHeight="1">
      <c r="A51" s="404" t="s">
        <v>2556</v>
      </c>
      <c r="B51" s="302" t="s">
        <v>2576</v>
      </c>
      <c r="C51" s="302" t="s">
        <v>2577</v>
      </c>
      <c r="D51" s="346">
        <v>25</v>
      </c>
      <c r="E51" s="47"/>
      <c r="F51" s="47">
        <v>96.39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321">
        <f t="shared" si="3"/>
        <v>96.39</v>
      </c>
      <c r="R51" s="321" t="str">
        <f t="shared" si="1"/>
        <v>NO</v>
      </c>
      <c r="S51" s="321" t="str">
        <f t="shared" si="2"/>
        <v>Inviable Sanitariamente</v>
      </c>
    </row>
    <row r="52" spans="1:19" s="180" customFormat="1" ht="32.1" customHeight="1">
      <c r="A52" s="562" t="s">
        <v>2556</v>
      </c>
      <c r="B52" s="587" t="s">
        <v>4357</v>
      </c>
      <c r="C52" s="563" t="s">
        <v>4356</v>
      </c>
      <c r="D52" s="346">
        <v>20</v>
      </c>
      <c r="E52" s="47"/>
      <c r="F52" s="47">
        <v>96.4</v>
      </c>
      <c r="G52" s="47"/>
      <c r="H52" s="432"/>
      <c r="I52" s="47"/>
      <c r="J52" s="47">
        <v>97.6</v>
      </c>
      <c r="K52" s="47"/>
      <c r="L52" s="47"/>
      <c r="M52" s="47"/>
      <c r="N52" s="47"/>
      <c r="O52" s="47"/>
      <c r="P52" s="47"/>
      <c r="Q52" s="321">
        <f t="shared" si="3"/>
        <v>97</v>
      </c>
      <c r="R52" s="321" t="str">
        <f t="shared" si="1"/>
        <v>NO</v>
      </c>
      <c r="S52" s="321" t="str">
        <f t="shared" si="2"/>
        <v>Inviable Sanitariamente</v>
      </c>
    </row>
    <row r="53" spans="1:19" s="180" customFormat="1" ht="32.1" customHeight="1">
      <c r="A53" s="404" t="s">
        <v>2556</v>
      </c>
      <c r="B53" s="302" t="s">
        <v>2578</v>
      </c>
      <c r="C53" s="302" t="s">
        <v>2579</v>
      </c>
      <c r="D53" s="346">
        <v>42</v>
      </c>
      <c r="E53" s="47"/>
      <c r="F53" s="47">
        <v>96.39</v>
      </c>
      <c r="G53" s="47"/>
      <c r="H53" s="47"/>
      <c r="I53" s="47"/>
      <c r="J53" s="47">
        <v>88</v>
      </c>
      <c r="K53" s="47"/>
      <c r="L53" s="47"/>
      <c r="M53" s="47"/>
      <c r="N53" s="47"/>
      <c r="O53" s="47"/>
      <c r="P53" s="47"/>
      <c r="Q53" s="321">
        <f t="shared" si="3"/>
        <v>92.194999999999993</v>
      </c>
      <c r="R53" s="321" t="str">
        <f t="shared" si="1"/>
        <v>NO</v>
      </c>
      <c r="S53" s="321" t="str">
        <f t="shared" si="2"/>
        <v>Inviable Sanitariamente</v>
      </c>
    </row>
    <row r="54" spans="1:19" s="180" customFormat="1" ht="32.1" customHeight="1">
      <c r="A54" s="404" t="s">
        <v>2556</v>
      </c>
      <c r="B54" s="302" t="s">
        <v>1380</v>
      </c>
      <c r="C54" s="302" t="s">
        <v>2580</v>
      </c>
      <c r="D54" s="346">
        <v>31</v>
      </c>
      <c r="E54" s="47"/>
      <c r="F54" s="47">
        <v>96.39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321">
        <f t="shared" si="3"/>
        <v>96.39</v>
      </c>
      <c r="R54" s="321" t="str">
        <f t="shared" si="1"/>
        <v>NO</v>
      </c>
      <c r="S54" s="321" t="str">
        <f t="shared" si="2"/>
        <v>Inviable Sanitariamente</v>
      </c>
    </row>
    <row r="55" spans="1:19" s="180" customFormat="1" ht="32.1" customHeight="1">
      <c r="A55" s="404" t="s">
        <v>2556</v>
      </c>
      <c r="B55" s="302" t="s">
        <v>2581</v>
      </c>
      <c r="C55" s="302" t="s">
        <v>2582</v>
      </c>
      <c r="D55" s="399">
        <v>42</v>
      </c>
      <c r="E55" s="422"/>
      <c r="F55" s="422"/>
      <c r="G55" s="422"/>
      <c r="H55" s="422"/>
      <c r="I55" s="422">
        <v>96.39</v>
      </c>
      <c r="J55" s="422"/>
      <c r="K55" s="422"/>
      <c r="L55" s="422"/>
      <c r="M55" s="422"/>
      <c r="N55" s="422"/>
      <c r="O55" s="422"/>
      <c r="P55" s="422"/>
      <c r="Q55" s="321">
        <f t="shared" si="3"/>
        <v>96.39</v>
      </c>
      <c r="R55" s="321" t="str">
        <f t="shared" si="1"/>
        <v>NO</v>
      </c>
      <c r="S55" s="321" t="str">
        <f t="shared" si="2"/>
        <v>Inviable Sanitariamente</v>
      </c>
    </row>
    <row r="56" spans="1:19" s="180" customFormat="1" ht="32.1" customHeight="1">
      <c r="A56" s="562" t="s">
        <v>2556</v>
      </c>
      <c r="B56" s="563" t="s">
        <v>2583</v>
      </c>
      <c r="C56" s="563" t="s">
        <v>2584</v>
      </c>
      <c r="D56" s="304">
        <v>22</v>
      </c>
      <c r="E56" s="339"/>
      <c r="F56" s="339"/>
      <c r="G56" s="339"/>
      <c r="H56" s="339"/>
      <c r="I56" s="339"/>
      <c r="J56" s="339"/>
      <c r="K56" s="339"/>
      <c r="L56" s="339"/>
      <c r="M56" s="339">
        <v>97.35</v>
      </c>
      <c r="N56" s="339"/>
      <c r="O56" s="339"/>
      <c r="P56" s="339"/>
      <c r="Q56" s="321">
        <f t="shared" si="3"/>
        <v>97.35</v>
      </c>
      <c r="R56" s="321" t="str">
        <f t="shared" si="1"/>
        <v>NO</v>
      </c>
      <c r="S56" s="321" t="str">
        <f t="shared" si="2"/>
        <v>Inviable Sanitariamente</v>
      </c>
    </row>
    <row r="57" spans="1:19" s="180" customFormat="1" ht="32.1" customHeight="1">
      <c r="A57" s="562" t="s">
        <v>2556</v>
      </c>
      <c r="B57" s="563" t="s">
        <v>2585</v>
      </c>
      <c r="C57" s="563" t="s">
        <v>2586</v>
      </c>
      <c r="D57" s="304">
        <v>12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21"/>
      <c r="R57" s="321"/>
      <c r="S57" s="321"/>
    </row>
    <row r="58" spans="1:19" s="180" customFormat="1" ht="32.1" customHeight="1">
      <c r="A58" s="562" t="s">
        <v>2556</v>
      </c>
      <c r="B58" s="563" t="s">
        <v>2587</v>
      </c>
      <c r="C58" s="563" t="s">
        <v>2588</v>
      </c>
      <c r="D58" s="304">
        <v>8</v>
      </c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21"/>
      <c r="R58" s="321"/>
      <c r="S58" s="321"/>
    </row>
    <row r="59" spans="1:19" s="180" customFormat="1" ht="32.1" customHeight="1">
      <c r="A59" s="562" t="s">
        <v>2556</v>
      </c>
      <c r="B59" s="563" t="s">
        <v>2589</v>
      </c>
      <c r="C59" s="563" t="s">
        <v>2590</v>
      </c>
      <c r="D59" s="304">
        <v>52</v>
      </c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>
        <v>97.4</v>
      </c>
      <c r="P59" s="339"/>
      <c r="Q59" s="321">
        <f t="shared" si="3"/>
        <v>97.4</v>
      </c>
      <c r="R59" s="321" t="str">
        <f t="shared" si="1"/>
        <v>NO</v>
      </c>
      <c r="S59" s="321" t="str">
        <f t="shared" si="2"/>
        <v>Inviable Sanitariamente</v>
      </c>
    </row>
    <row r="60" spans="1:19" s="180" customFormat="1" ht="32.1" customHeight="1">
      <c r="A60" s="562" t="s">
        <v>2556</v>
      </c>
      <c r="B60" s="563" t="s">
        <v>2591</v>
      </c>
      <c r="C60" s="563" t="s">
        <v>2592</v>
      </c>
      <c r="D60" s="413">
        <v>180</v>
      </c>
      <c r="E60" s="343"/>
      <c r="F60" s="343"/>
      <c r="G60" s="343"/>
      <c r="H60" s="343">
        <v>96.39</v>
      </c>
      <c r="I60" s="591"/>
      <c r="J60" s="343"/>
      <c r="K60" s="343"/>
      <c r="L60" s="343"/>
      <c r="M60" s="343"/>
      <c r="N60" s="343"/>
      <c r="O60" s="343"/>
      <c r="P60" s="417"/>
      <c r="Q60" s="321">
        <f t="shared" si="3"/>
        <v>96.39</v>
      </c>
      <c r="R60" s="321" t="str">
        <f t="shared" si="1"/>
        <v>NO</v>
      </c>
      <c r="S60" s="321" t="str">
        <f t="shared" si="2"/>
        <v>Inviable Sanitariamente</v>
      </c>
    </row>
    <row r="61" spans="1:19" s="180" customFormat="1" ht="32.1" customHeight="1">
      <c r="A61" s="562" t="s">
        <v>2556</v>
      </c>
      <c r="B61" s="563" t="s">
        <v>2593</v>
      </c>
      <c r="C61" s="563" t="s">
        <v>2594</v>
      </c>
      <c r="D61" s="304">
        <v>24</v>
      </c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21"/>
      <c r="R61" s="321"/>
      <c r="S61" s="321"/>
    </row>
    <row r="62" spans="1:19" s="180" customFormat="1" ht="32.1" customHeight="1">
      <c r="A62" s="562" t="s">
        <v>2556</v>
      </c>
      <c r="B62" s="563" t="s">
        <v>96</v>
      </c>
      <c r="C62" s="563" t="s">
        <v>2595</v>
      </c>
      <c r="D62" s="304">
        <v>35</v>
      </c>
      <c r="E62" s="339"/>
      <c r="F62" s="339"/>
      <c r="G62" s="339"/>
      <c r="H62" s="339"/>
      <c r="I62" s="339"/>
      <c r="J62" s="339"/>
      <c r="K62" s="339">
        <v>97.35</v>
      </c>
      <c r="L62" s="339"/>
      <c r="M62" s="339"/>
      <c r="N62" s="339"/>
      <c r="O62" s="339"/>
      <c r="P62" s="339"/>
      <c r="Q62" s="321">
        <f t="shared" si="3"/>
        <v>97.35</v>
      </c>
      <c r="R62" s="321" t="str">
        <f t="shared" si="1"/>
        <v>NO</v>
      </c>
      <c r="S62" s="321" t="str">
        <f t="shared" si="2"/>
        <v>Inviable Sanitariamente</v>
      </c>
    </row>
    <row r="63" spans="1:19" s="180" customFormat="1" ht="32.1" customHeight="1">
      <c r="A63" s="562" t="s">
        <v>2556</v>
      </c>
      <c r="B63" s="563" t="s">
        <v>2596</v>
      </c>
      <c r="C63" s="563" t="s">
        <v>2597</v>
      </c>
      <c r="D63" s="304">
        <v>64</v>
      </c>
      <c r="E63" s="339">
        <v>97.35</v>
      </c>
      <c r="F63" s="339">
        <v>97.35</v>
      </c>
      <c r="G63" s="339">
        <v>97.35</v>
      </c>
      <c r="H63" s="339">
        <v>97.35</v>
      </c>
      <c r="I63" s="339">
        <v>97.35</v>
      </c>
      <c r="J63" s="339">
        <v>97.35</v>
      </c>
      <c r="K63" s="339">
        <v>97.35</v>
      </c>
      <c r="L63" s="339">
        <v>97.35</v>
      </c>
      <c r="M63" s="339">
        <v>97.35</v>
      </c>
      <c r="N63" s="339">
        <v>97.35</v>
      </c>
      <c r="O63" s="339">
        <v>97.35</v>
      </c>
      <c r="P63" s="339">
        <v>97.35</v>
      </c>
      <c r="Q63" s="321">
        <f t="shared" si="3"/>
        <v>97.350000000000009</v>
      </c>
      <c r="R63" s="321" t="str">
        <f t="shared" si="1"/>
        <v>NO</v>
      </c>
      <c r="S63" s="321" t="str">
        <f t="shared" si="2"/>
        <v>Inviable Sanitariamente</v>
      </c>
    </row>
    <row r="64" spans="1:19" s="180" customFormat="1" ht="32.1" customHeight="1">
      <c r="A64" s="562" t="s">
        <v>2556</v>
      </c>
      <c r="B64" s="563" t="s">
        <v>1178</v>
      </c>
      <c r="C64" s="563" t="s">
        <v>2598</v>
      </c>
      <c r="D64" s="304">
        <v>27</v>
      </c>
      <c r="E64" s="339"/>
      <c r="F64" s="339"/>
      <c r="G64" s="339"/>
      <c r="H64" s="339"/>
      <c r="I64" s="339"/>
      <c r="J64" s="339"/>
      <c r="K64" s="339">
        <v>97.35</v>
      </c>
      <c r="L64" s="339"/>
      <c r="M64" s="339"/>
      <c r="N64" s="339"/>
      <c r="O64" s="339"/>
      <c r="P64" s="339"/>
      <c r="Q64" s="321">
        <f t="shared" si="3"/>
        <v>97.35</v>
      </c>
      <c r="R64" s="321" t="str">
        <f t="shared" si="1"/>
        <v>NO</v>
      </c>
      <c r="S64" s="321" t="str">
        <f t="shared" si="2"/>
        <v>Inviable Sanitariamente</v>
      </c>
    </row>
    <row r="65" spans="1:19" s="180" customFormat="1" ht="32.1" customHeight="1">
      <c r="A65" s="562" t="s">
        <v>2556</v>
      </c>
      <c r="B65" s="563" t="s">
        <v>2035</v>
      </c>
      <c r="C65" s="563" t="s">
        <v>2599</v>
      </c>
      <c r="D65" s="304">
        <v>97</v>
      </c>
      <c r="E65" s="339"/>
      <c r="F65" s="339"/>
      <c r="G65" s="339"/>
      <c r="H65" s="339"/>
      <c r="I65" s="339"/>
      <c r="J65" s="339"/>
      <c r="K65" s="339"/>
      <c r="L65" s="339"/>
      <c r="M65" s="339"/>
      <c r="N65" s="339">
        <v>97.4</v>
      </c>
      <c r="O65" s="339"/>
      <c r="P65" s="339"/>
      <c r="Q65" s="321">
        <f t="shared" si="3"/>
        <v>97.4</v>
      </c>
      <c r="R65" s="321" t="str">
        <f t="shared" si="1"/>
        <v>NO</v>
      </c>
      <c r="S65" s="321" t="str">
        <f t="shared" si="2"/>
        <v>Inviable Sanitariamente</v>
      </c>
    </row>
    <row r="66" spans="1:19" s="180" customFormat="1" ht="32.1" customHeight="1">
      <c r="A66" s="562" t="s">
        <v>2556</v>
      </c>
      <c r="B66" s="563" t="s">
        <v>2600</v>
      </c>
      <c r="C66" s="563" t="s">
        <v>2601</v>
      </c>
      <c r="D66" s="304">
        <v>37</v>
      </c>
      <c r="E66" s="339"/>
      <c r="F66" s="339"/>
      <c r="G66" s="339"/>
      <c r="H66" s="339"/>
      <c r="I66" s="339"/>
      <c r="J66" s="339"/>
      <c r="K66" s="339">
        <v>97.35</v>
      </c>
      <c r="L66" s="339"/>
      <c r="M66" s="339"/>
      <c r="N66" s="339"/>
      <c r="O66" s="339"/>
      <c r="P66" s="339"/>
      <c r="Q66" s="321">
        <f t="shared" si="3"/>
        <v>97.35</v>
      </c>
      <c r="R66" s="321" t="str">
        <f t="shared" si="1"/>
        <v>NO</v>
      </c>
      <c r="S66" s="321" t="str">
        <f t="shared" si="2"/>
        <v>Inviable Sanitariamente</v>
      </c>
    </row>
    <row r="67" spans="1:19" s="180" customFormat="1" ht="32.1" customHeight="1">
      <c r="A67" s="562" t="s">
        <v>2556</v>
      </c>
      <c r="B67" s="563" t="s">
        <v>8</v>
      </c>
      <c r="C67" s="563" t="s">
        <v>2602</v>
      </c>
      <c r="D67" s="304">
        <v>19</v>
      </c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>
        <v>97.4</v>
      </c>
      <c r="P67" s="339"/>
      <c r="Q67" s="321">
        <f t="shared" si="3"/>
        <v>97.4</v>
      </c>
      <c r="R67" s="321" t="str">
        <f t="shared" si="1"/>
        <v>NO</v>
      </c>
      <c r="S67" s="321" t="str">
        <f t="shared" si="2"/>
        <v>Inviable Sanitariamente</v>
      </c>
    </row>
    <row r="68" spans="1:19" s="180" customFormat="1" ht="32.1" customHeight="1">
      <c r="A68" s="562" t="s">
        <v>2556</v>
      </c>
      <c r="B68" s="563" t="s">
        <v>69</v>
      </c>
      <c r="C68" s="563" t="s">
        <v>2603</v>
      </c>
      <c r="D68" s="304">
        <v>14</v>
      </c>
      <c r="E68" s="339"/>
      <c r="F68" s="339"/>
      <c r="G68" s="339"/>
      <c r="H68" s="339"/>
      <c r="I68" s="339"/>
      <c r="J68" s="339"/>
      <c r="K68" s="339">
        <v>97.35</v>
      </c>
      <c r="L68" s="339"/>
      <c r="M68" s="339"/>
      <c r="N68" s="339"/>
      <c r="O68" s="339"/>
      <c r="P68" s="339"/>
      <c r="Q68" s="321">
        <f t="shared" si="3"/>
        <v>97.35</v>
      </c>
      <c r="R68" s="321" t="str">
        <f t="shared" si="1"/>
        <v>NO</v>
      </c>
      <c r="S68" s="321" t="str">
        <f t="shared" si="2"/>
        <v>Inviable Sanitariamente</v>
      </c>
    </row>
    <row r="69" spans="1:19" s="180" customFormat="1" ht="32.1" customHeight="1">
      <c r="A69" s="562" t="s">
        <v>2556</v>
      </c>
      <c r="B69" s="563" t="s">
        <v>2604</v>
      </c>
      <c r="C69" s="563" t="s">
        <v>2605</v>
      </c>
      <c r="D69" s="304">
        <v>34</v>
      </c>
      <c r="E69" s="339"/>
      <c r="F69" s="339"/>
      <c r="G69" s="339"/>
      <c r="H69" s="339"/>
      <c r="I69" s="339">
        <v>97.35</v>
      </c>
      <c r="J69" s="339"/>
      <c r="K69" s="339"/>
      <c r="L69" s="339"/>
      <c r="M69" s="339"/>
      <c r="N69" s="339"/>
      <c r="O69" s="339"/>
      <c r="P69" s="339"/>
      <c r="Q69" s="321">
        <f t="shared" si="3"/>
        <v>97.35</v>
      </c>
      <c r="R69" s="321" t="str">
        <f t="shared" si="1"/>
        <v>NO</v>
      </c>
      <c r="S69" s="321" t="str">
        <f t="shared" si="2"/>
        <v>Inviable Sanitariamente</v>
      </c>
    </row>
    <row r="70" spans="1:19" s="180" customFormat="1" ht="32.1" customHeight="1">
      <c r="A70" s="562" t="s">
        <v>2556</v>
      </c>
      <c r="B70" s="563" t="s">
        <v>2606</v>
      </c>
      <c r="C70" s="563" t="s">
        <v>2607</v>
      </c>
      <c r="D70" s="304">
        <v>14</v>
      </c>
      <c r="E70" s="339"/>
      <c r="F70" s="339"/>
      <c r="G70" s="339"/>
      <c r="H70" s="339"/>
      <c r="I70" s="339">
        <v>97.35</v>
      </c>
      <c r="J70" s="339"/>
      <c r="K70" s="339"/>
      <c r="L70" s="339"/>
      <c r="M70" s="339"/>
      <c r="N70" s="339"/>
      <c r="O70" s="339"/>
      <c r="P70" s="339"/>
      <c r="Q70" s="321">
        <f t="shared" si="3"/>
        <v>97.35</v>
      </c>
      <c r="R70" s="321" t="str">
        <f t="shared" si="1"/>
        <v>NO</v>
      </c>
      <c r="S70" s="321" t="str">
        <f t="shared" si="2"/>
        <v>Inviable Sanitariamente</v>
      </c>
    </row>
    <row r="71" spans="1:19" s="180" customFormat="1" ht="32.1" customHeight="1">
      <c r="A71" s="404" t="s">
        <v>2556</v>
      </c>
      <c r="B71" s="302" t="s">
        <v>2608</v>
      </c>
      <c r="C71" s="302" t="s">
        <v>2609</v>
      </c>
      <c r="D71" s="413">
        <v>36</v>
      </c>
      <c r="E71" s="407"/>
      <c r="F71" s="407"/>
      <c r="G71" s="407"/>
      <c r="H71" s="407">
        <v>96.4</v>
      </c>
      <c r="I71" s="413"/>
      <c r="J71" s="407"/>
      <c r="K71" s="407"/>
      <c r="L71" s="407"/>
      <c r="M71" s="407"/>
      <c r="N71" s="407"/>
      <c r="O71" s="407"/>
      <c r="P71" s="407"/>
      <c r="Q71" s="321">
        <f t="shared" si="3"/>
        <v>96.4</v>
      </c>
      <c r="R71" s="321" t="str">
        <f t="shared" si="1"/>
        <v>NO</v>
      </c>
      <c r="S71" s="321" t="str">
        <f t="shared" si="2"/>
        <v>Inviable Sanitariamente</v>
      </c>
    </row>
    <row r="72" spans="1:19" s="180" customFormat="1" ht="32.1" customHeight="1">
      <c r="A72" s="404" t="s">
        <v>2556</v>
      </c>
      <c r="B72" s="302" t="s">
        <v>2610</v>
      </c>
      <c r="C72" s="302" t="s">
        <v>2611</v>
      </c>
      <c r="D72" s="418">
        <v>28</v>
      </c>
      <c r="E72" s="407"/>
      <c r="F72" s="407"/>
      <c r="G72" s="407"/>
      <c r="H72" s="407"/>
      <c r="I72" s="407"/>
      <c r="J72" s="407">
        <v>88</v>
      </c>
      <c r="K72" s="407"/>
      <c r="L72" s="407"/>
      <c r="M72" s="407"/>
      <c r="N72" s="407"/>
      <c r="O72" s="407"/>
      <c r="P72" s="407"/>
      <c r="Q72" s="321">
        <f t="shared" si="3"/>
        <v>88</v>
      </c>
      <c r="R72" s="321" t="str">
        <f t="shared" si="1"/>
        <v>NO</v>
      </c>
      <c r="S72" s="321" t="str">
        <f t="shared" si="2"/>
        <v>Inviable Sanitariamente</v>
      </c>
    </row>
    <row r="73" spans="1:19" s="180" customFormat="1" ht="32.1" customHeight="1">
      <c r="A73" s="564" t="s">
        <v>2556</v>
      </c>
      <c r="B73" s="565" t="s">
        <v>1713</v>
      </c>
      <c r="C73" s="565" t="s">
        <v>2612</v>
      </c>
      <c r="D73" s="304">
        <v>60</v>
      </c>
      <c r="E73" s="339"/>
      <c r="F73" s="339"/>
      <c r="G73" s="339"/>
      <c r="H73" s="339"/>
      <c r="I73" s="339">
        <v>97.35</v>
      </c>
      <c r="J73" s="339"/>
      <c r="K73" s="339"/>
      <c r="L73" s="339"/>
      <c r="M73" s="339"/>
      <c r="N73" s="339"/>
      <c r="O73" s="339"/>
      <c r="P73" s="339"/>
      <c r="Q73" s="321">
        <f t="shared" si="3"/>
        <v>97.35</v>
      </c>
      <c r="R73" s="321" t="str">
        <f t="shared" si="1"/>
        <v>NO</v>
      </c>
      <c r="S73" s="321" t="str">
        <f t="shared" si="2"/>
        <v>Inviable Sanitariamente</v>
      </c>
    </row>
    <row r="74" spans="1:19" s="180" customFormat="1" ht="32.1" customHeight="1">
      <c r="A74" s="564" t="s">
        <v>2556</v>
      </c>
      <c r="B74" s="565" t="s">
        <v>231</v>
      </c>
      <c r="C74" s="565" t="s">
        <v>2613</v>
      </c>
      <c r="D74" s="304">
        <v>22</v>
      </c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>
        <v>97.4</v>
      </c>
      <c r="P74" s="339"/>
      <c r="Q74" s="321">
        <f t="shared" si="3"/>
        <v>97.4</v>
      </c>
      <c r="R74" s="321" t="str">
        <f t="shared" si="1"/>
        <v>NO</v>
      </c>
      <c r="S74" s="321" t="str">
        <f t="shared" si="2"/>
        <v>Inviable Sanitariamente</v>
      </c>
    </row>
    <row r="75" spans="1:19" s="180" customFormat="1" ht="32.1" customHeight="1">
      <c r="A75" s="564" t="s">
        <v>2556</v>
      </c>
      <c r="B75" s="565" t="s">
        <v>2614</v>
      </c>
      <c r="C75" s="565" t="s">
        <v>2615</v>
      </c>
      <c r="D75" s="304">
        <v>30</v>
      </c>
      <c r="E75" s="339"/>
      <c r="F75" s="339"/>
      <c r="G75" s="339"/>
      <c r="H75" s="339"/>
      <c r="I75" s="339"/>
      <c r="J75" s="339"/>
      <c r="K75" s="339"/>
      <c r="L75" s="339"/>
      <c r="M75" s="339"/>
      <c r="N75" s="339">
        <v>97.4</v>
      </c>
      <c r="O75" s="339"/>
      <c r="P75" s="339"/>
      <c r="Q75" s="321">
        <f t="shared" si="3"/>
        <v>97.4</v>
      </c>
      <c r="R75" s="321" t="str">
        <f t="shared" si="1"/>
        <v>NO</v>
      </c>
      <c r="S75" s="321" t="str">
        <f t="shared" si="2"/>
        <v>Inviable Sanitariamente</v>
      </c>
    </row>
    <row r="76" spans="1:19" s="180" customFormat="1" ht="32.1" customHeight="1">
      <c r="A76" s="564" t="s">
        <v>2556</v>
      </c>
      <c r="B76" s="565" t="s">
        <v>2616</v>
      </c>
      <c r="C76" s="589" t="s">
        <v>4358</v>
      </c>
      <c r="D76" s="304">
        <v>11</v>
      </c>
      <c r="E76" s="339"/>
      <c r="F76" s="339"/>
      <c r="G76" s="339">
        <v>97.35</v>
      </c>
      <c r="H76" s="339"/>
      <c r="I76" s="339"/>
      <c r="J76" s="339"/>
      <c r="K76" s="339"/>
      <c r="L76" s="339"/>
      <c r="M76" s="339"/>
      <c r="N76" s="339"/>
      <c r="O76" s="339"/>
      <c r="P76" s="339"/>
      <c r="Q76" s="321">
        <f t="shared" si="3"/>
        <v>97.35</v>
      </c>
      <c r="R76" s="321" t="str">
        <f t="shared" si="1"/>
        <v>NO</v>
      </c>
      <c r="S76" s="321" t="str">
        <f t="shared" si="2"/>
        <v>Inviable Sanitariamente</v>
      </c>
    </row>
    <row r="77" spans="1:19" s="180" customFormat="1" ht="32.1" customHeight="1">
      <c r="A77" s="564" t="s">
        <v>2556</v>
      </c>
      <c r="B77" s="565" t="s">
        <v>2001</v>
      </c>
      <c r="C77" s="565" t="s">
        <v>2617</v>
      </c>
      <c r="D77" s="304">
        <v>50</v>
      </c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>
        <v>97.4</v>
      </c>
      <c r="P77" s="339"/>
      <c r="Q77" s="321">
        <f t="shared" si="3"/>
        <v>97.4</v>
      </c>
      <c r="R77" s="321" t="str">
        <f t="shared" ref="R77:R141" si="4">IF(Q77&lt;5,"SI","NO")</f>
        <v>NO</v>
      </c>
      <c r="S77" s="321" t="str">
        <f t="shared" si="2"/>
        <v>Inviable Sanitariamente</v>
      </c>
    </row>
    <row r="78" spans="1:19" s="180" customFormat="1" ht="32.1" customHeight="1">
      <c r="A78" s="564" t="s">
        <v>2556</v>
      </c>
      <c r="B78" s="565" t="s">
        <v>1248</v>
      </c>
      <c r="C78" s="565" t="s">
        <v>2618</v>
      </c>
      <c r="D78" s="304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21"/>
      <c r="R78" s="321"/>
      <c r="S78" s="321"/>
    </row>
    <row r="79" spans="1:19" s="180" customFormat="1" ht="32.1" customHeight="1">
      <c r="A79" s="404" t="s">
        <v>2556</v>
      </c>
      <c r="B79" s="302" t="s">
        <v>2619</v>
      </c>
      <c r="C79" s="302" t="s">
        <v>2620</v>
      </c>
      <c r="D79" s="418">
        <v>45</v>
      </c>
      <c r="E79" s="407"/>
      <c r="F79" s="407">
        <v>36.14</v>
      </c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321">
        <f t="shared" si="3"/>
        <v>36.14</v>
      </c>
      <c r="R79" s="321" t="str">
        <f t="shared" si="4"/>
        <v>NO</v>
      </c>
      <c r="S79" s="321" t="str">
        <f t="shared" ref="S79:S141" si="5">IF(Q79&lt;=5,"Sin Riesgo",IF(Q79 &lt;=14,"Bajo",IF(Q79&lt;=35,"Medio",IF(Q79&lt;=80,"Alto","Inviable Sanitariamente"))))</f>
        <v>Alto</v>
      </c>
    </row>
    <row r="80" spans="1:19" s="180" customFormat="1" ht="32.1" customHeight="1">
      <c r="A80" s="404" t="s">
        <v>146</v>
      </c>
      <c r="B80" s="302" t="s">
        <v>2621</v>
      </c>
      <c r="C80" s="302" t="s">
        <v>2622</v>
      </c>
      <c r="D80" s="346">
        <v>64</v>
      </c>
      <c r="E80" s="47"/>
      <c r="F80" s="47"/>
      <c r="G80" s="47"/>
      <c r="H80" s="47"/>
      <c r="I80" s="47"/>
      <c r="J80" s="47"/>
      <c r="K80" s="47">
        <v>97</v>
      </c>
      <c r="L80" s="47"/>
      <c r="M80" s="47"/>
      <c r="N80" s="47"/>
      <c r="O80" s="47"/>
      <c r="P80" s="47"/>
      <c r="Q80" s="321">
        <f t="shared" si="3"/>
        <v>97</v>
      </c>
      <c r="R80" s="321" t="str">
        <f t="shared" si="4"/>
        <v>NO</v>
      </c>
      <c r="S80" s="321" t="str">
        <f t="shared" si="5"/>
        <v>Inviable Sanitariamente</v>
      </c>
    </row>
    <row r="81" spans="1:19" s="180" customFormat="1" ht="32.1" customHeight="1">
      <c r="A81" s="404" t="s">
        <v>146</v>
      </c>
      <c r="B81" s="302" t="s">
        <v>2623</v>
      </c>
      <c r="C81" s="302" t="s">
        <v>2624</v>
      </c>
      <c r="D81" s="346">
        <v>160</v>
      </c>
      <c r="E81" s="47"/>
      <c r="F81" s="47"/>
      <c r="G81" s="47"/>
      <c r="H81" s="47"/>
      <c r="I81" s="47">
        <v>97</v>
      </c>
      <c r="J81" s="47"/>
      <c r="K81" s="47"/>
      <c r="L81" s="47"/>
      <c r="M81" s="47"/>
      <c r="N81" s="415"/>
      <c r="O81" s="47"/>
      <c r="P81" s="47"/>
      <c r="Q81" s="321">
        <f t="shared" si="3"/>
        <v>97</v>
      </c>
      <c r="R81" s="321" t="str">
        <f t="shared" si="4"/>
        <v>NO</v>
      </c>
      <c r="S81" s="321" t="str">
        <f t="shared" si="5"/>
        <v>Inviable Sanitariamente</v>
      </c>
    </row>
    <row r="82" spans="1:19" s="180" customFormat="1" ht="32.1" customHeight="1">
      <c r="A82" s="404" t="s">
        <v>146</v>
      </c>
      <c r="B82" s="302" t="s">
        <v>2625</v>
      </c>
      <c r="C82" s="302" t="s">
        <v>2626</v>
      </c>
      <c r="D82" s="346">
        <v>105</v>
      </c>
      <c r="E82" s="47"/>
      <c r="F82" s="47"/>
      <c r="G82" s="47"/>
      <c r="H82" s="47"/>
      <c r="I82" s="47">
        <v>97</v>
      </c>
      <c r="J82" s="47"/>
      <c r="K82" s="47"/>
      <c r="L82" s="47"/>
      <c r="M82" s="47"/>
      <c r="N82" s="47"/>
      <c r="O82" s="47"/>
      <c r="P82" s="47"/>
      <c r="Q82" s="321">
        <f t="shared" si="3"/>
        <v>97</v>
      </c>
      <c r="R82" s="321" t="str">
        <f t="shared" si="4"/>
        <v>NO</v>
      </c>
      <c r="S82" s="321" t="str">
        <f t="shared" si="5"/>
        <v>Inviable Sanitariamente</v>
      </c>
    </row>
    <row r="83" spans="1:19" s="180" customFormat="1" ht="32.1" customHeight="1">
      <c r="A83" s="404" t="s">
        <v>146</v>
      </c>
      <c r="B83" s="302" t="s">
        <v>2627</v>
      </c>
      <c r="C83" s="302" t="s">
        <v>2628</v>
      </c>
      <c r="D83" s="346">
        <v>102</v>
      </c>
      <c r="E83" s="47"/>
      <c r="F83" s="47"/>
      <c r="G83" s="47"/>
      <c r="H83" s="47">
        <v>97</v>
      </c>
      <c r="I83" s="47"/>
      <c r="J83" s="47"/>
      <c r="K83" s="47"/>
      <c r="L83" s="47"/>
      <c r="M83" s="47"/>
      <c r="N83" s="47"/>
      <c r="O83" s="47"/>
      <c r="P83" s="47"/>
      <c r="Q83" s="321">
        <f t="shared" si="3"/>
        <v>97</v>
      </c>
      <c r="R83" s="321" t="str">
        <f t="shared" si="4"/>
        <v>NO</v>
      </c>
      <c r="S83" s="321" t="str">
        <f t="shared" si="5"/>
        <v>Inviable Sanitariamente</v>
      </c>
    </row>
    <row r="84" spans="1:19" s="180" customFormat="1" ht="32.1" customHeight="1">
      <c r="A84" s="404" t="s">
        <v>146</v>
      </c>
      <c r="B84" s="302" t="s">
        <v>2629</v>
      </c>
      <c r="C84" s="302" t="s">
        <v>2630</v>
      </c>
      <c r="D84" s="346">
        <v>114</v>
      </c>
      <c r="E84" s="47"/>
      <c r="F84" s="47"/>
      <c r="G84" s="47"/>
      <c r="H84" s="47"/>
      <c r="I84" s="47"/>
      <c r="J84" s="47"/>
      <c r="K84" s="47">
        <v>97</v>
      </c>
      <c r="L84" s="47"/>
      <c r="M84" s="47"/>
      <c r="N84" s="47"/>
      <c r="O84" s="47"/>
      <c r="P84" s="47"/>
      <c r="Q84" s="321">
        <f t="shared" si="3"/>
        <v>97</v>
      </c>
      <c r="R84" s="321" t="str">
        <f t="shared" si="4"/>
        <v>NO</v>
      </c>
      <c r="S84" s="321" t="str">
        <f t="shared" si="5"/>
        <v>Inviable Sanitariamente</v>
      </c>
    </row>
    <row r="85" spans="1:19" s="180" customFormat="1" ht="32.1" customHeight="1">
      <c r="A85" s="404" t="s">
        <v>146</v>
      </c>
      <c r="B85" s="398" t="s">
        <v>2631</v>
      </c>
      <c r="C85" s="398" t="s">
        <v>2632</v>
      </c>
      <c r="D85" s="399">
        <v>184</v>
      </c>
      <c r="E85" s="47"/>
      <c r="F85" s="47"/>
      <c r="G85" s="47">
        <v>97</v>
      </c>
      <c r="H85" s="47"/>
      <c r="I85" s="47"/>
      <c r="J85" s="47"/>
      <c r="K85" s="47"/>
      <c r="L85" s="47"/>
      <c r="M85" s="47">
        <v>97</v>
      </c>
      <c r="N85" s="47"/>
      <c r="O85" s="47"/>
      <c r="P85" s="47"/>
      <c r="Q85" s="321">
        <f t="shared" si="3"/>
        <v>97</v>
      </c>
      <c r="R85" s="321" t="str">
        <f t="shared" si="4"/>
        <v>NO</v>
      </c>
      <c r="S85" s="321" t="str">
        <f t="shared" si="5"/>
        <v>Inviable Sanitariamente</v>
      </c>
    </row>
    <row r="86" spans="1:19" s="180" customFormat="1" ht="32.1" customHeight="1">
      <c r="A86" s="404" t="s">
        <v>146</v>
      </c>
      <c r="B86" s="302" t="s">
        <v>2633</v>
      </c>
      <c r="C86" s="302" t="s">
        <v>2634</v>
      </c>
      <c r="D86" s="346">
        <v>200</v>
      </c>
      <c r="E86" s="47"/>
      <c r="F86" s="47"/>
      <c r="G86" s="47"/>
      <c r="H86" s="47"/>
      <c r="I86" s="47"/>
      <c r="J86" s="47"/>
      <c r="K86" s="47"/>
      <c r="L86" s="47"/>
      <c r="M86" s="47"/>
      <c r="N86" s="47">
        <v>97</v>
      </c>
      <c r="O86" s="47"/>
      <c r="P86" s="47"/>
      <c r="Q86" s="321">
        <f t="shared" si="3"/>
        <v>97</v>
      </c>
      <c r="R86" s="321" t="str">
        <f t="shared" si="4"/>
        <v>NO</v>
      </c>
      <c r="S86" s="321" t="str">
        <f t="shared" si="5"/>
        <v>Inviable Sanitariamente</v>
      </c>
    </row>
    <row r="87" spans="1:19" s="180" customFormat="1" ht="32.1" customHeight="1">
      <c r="A87" s="404" t="s">
        <v>146</v>
      </c>
      <c r="B87" s="302" t="s">
        <v>2635</v>
      </c>
      <c r="C87" s="302" t="s">
        <v>2636</v>
      </c>
      <c r="D87" s="346">
        <v>71</v>
      </c>
      <c r="E87" s="47"/>
      <c r="F87" s="47"/>
      <c r="G87" s="47"/>
      <c r="H87" s="47"/>
      <c r="I87" s="47"/>
      <c r="J87" s="47"/>
      <c r="K87" s="47"/>
      <c r="L87" s="47">
        <v>97</v>
      </c>
      <c r="M87" s="47"/>
      <c r="N87" s="47"/>
      <c r="O87" s="47"/>
      <c r="P87" s="47"/>
      <c r="Q87" s="321">
        <f t="shared" si="3"/>
        <v>97</v>
      </c>
      <c r="R87" s="321" t="str">
        <f t="shared" si="4"/>
        <v>NO</v>
      </c>
      <c r="S87" s="321" t="str">
        <f t="shared" si="5"/>
        <v>Inviable Sanitariamente</v>
      </c>
    </row>
    <row r="88" spans="1:19" s="180" customFormat="1" ht="32.1" customHeight="1">
      <c r="A88" s="404" t="s">
        <v>146</v>
      </c>
      <c r="B88" s="302" t="s">
        <v>2343</v>
      </c>
      <c r="C88" s="302" t="s">
        <v>2637</v>
      </c>
      <c r="D88" s="399">
        <v>46</v>
      </c>
      <c r="E88" s="47"/>
      <c r="F88" s="47"/>
      <c r="G88" s="47"/>
      <c r="H88" s="47">
        <v>97</v>
      </c>
      <c r="I88" s="47"/>
      <c r="J88" s="47"/>
      <c r="K88" s="47"/>
      <c r="L88" s="47"/>
      <c r="M88" s="47"/>
      <c r="N88" s="415"/>
      <c r="O88" s="47"/>
      <c r="P88" s="47"/>
      <c r="Q88" s="321">
        <f t="shared" si="3"/>
        <v>97</v>
      </c>
      <c r="R88" s="321" t="str">
        <f t="shared" si="4"/>
        <v>NO</v>
      </c>
      <c r="S88" s="321" t="str">
        <f t="shared" si="5"/>
        <v>Inviable Sanitariamente</v>
      </c>
    </row>
    <row r="89" spans="1:19" s="180" customFormat="1" ht="32.1" customHeight="1">
      <c r="A89" s="404" t="s">
        <v>146</v>
      </c>
      <c r="B89" s="302" t="s">
        <v>630</v>
      </c>
      <c r="C89" s="302" t="s">
        <v>2638</v>
      </c>
      <c r="D89" s="346">
        <v>97</v>
      </c>
      <c r="E89" s="47"/>
      <c r="F89" s="47"/>
      <c r="G89" s="47"/>
      <c r="H89" s="47">
        <v>97</v>
      </c>
      <c r="I89" s="47"/>
      <c r="J89" s="47"/>
      <c r="K89" s="47"/>
      <c r="L89" s="47"/>
      <c r="M89" s="47"/>
      <c r="N89" s="47"/>
      <c r="O89" s="47"/>
      <c r="P89" s="47"/>
      <c r="Q89" s="321">
        <f t="shared" si="3"/>
        <v>97</v>
      </c>
      <c r="R89" s="321" t="str">
        <f t="shared" si="4"/>
        <v>NO</v>
      </c>
      <c r="S89" s="321" t="str">
        <f t="shared" si="5"/>
        <v>Inviable Sanitariamente</v>
      </c>
    </row>
    <row r="90" spans="1:19" s="180" customFormat="1" ht="32.1" customHeight="1">
      <c r="A90" s="562" t="s">
        <v>146</v>
      </c>
      <c r="B90" s="563" t="s">
        <v>2639</v>
      </c>
      <c r="C90" s="563" t="s">
        <v>2640</v>
      </c>
      <c r="D90" s="304">
        <v>480</v>
      </c>
      <c r="E90" s="339"/>
      <c r="F90" s="339"/>
      <c r="G90" s="339"/>
      <c r="H90" s="339"/>
      <c r="I90" s="339">
        <v>97.4</v>
      </c>
      <c r="J90" s="339"/>
      <c r="K90" s="339"/>
      <c r="L90" s="339"/>
      <c r="M90" s="339"/>
      <c r="N90" s="339"/>
      <c r="O90" s="339"/>
      <c r="P90" s="339"/>
      <c r="Q90" s="321">
        <f t="shared" si="3"/>
        <v>97.4</v>
      </c>
      <c r="R90" s="321" t="str">
        <f t="shared" si="4"/>
        <v>NO</v>
      </c>
      <c r="S90" s="321" t="str">
        <f t="shared" si="5"/>
        <v>Inviable Sanitariamente</v>
      </c>
    </row>
    <row r="91" spans="1:19" s="180" customFormat="1" ht="32.1" customHeight="1">
      <c r="A91" s="564" t="s">
        <v>146</v>
      </c>
      <c r="B91" s="563" t="s">
        <v>2641</v>
      </c>
      <c r="C91" s="563" t="s">
        <v>2642</v>
      </c>
      <c r="D91" s="423">
        <v>160</v>
      </c>
      <c r="E91" s="47"/>
      <c r="F91" s="47"/>
      <c r="G91" s="47"/>
      <c r="H91" s="47">
        <v>97</v>
      </c>
      <c r="I91" s="47"/>
      <c r="J91" s="47"/>
      <c r="K91" s="47"/>
      <c r="L91" s="47"/>
      <c r="M91" s="47"/>
      <c r="N91" s="47"/>
      <c r="O91" s="47"/>
      <c r="P91" s="47"/>
      <c r="Q91" s="321">
        <f t="shared" si="3"/>
        <v>97</v>
      </c>
      <c r="R91" s="321" t="str">
        <f t="shared" si="4"/>
        <v>NO</v>
      </c>
      <c r="S91" s="321" t="str">
        <f t="shared" si="5"/>
        <v>Inviable Sanitariamente</v>
      </c>
    </row>
    <row r="92" spans="1:19" s="180" customFormat="1" ht="32.1" customHeight="1">
      <c r="A92" s="562" t="s">
        <v>146</v>
      </c>
      <c r="B92" s="563" t="s">
        <v>771</v>
      </c>
      <c r="C92" s="563" t="s">
        <v>2643</v>
      </c>
      <c r="D92" s="304">
        <v>105</v>
      </c>
      <c r="E92" s="339"/>
      <c r="F92" s="339"/>
      <c r="G92" s="339">
        <v>97.4</v>
      </c>
      <c r="H92" s="339"/>
      <c r="I92" s="339"/>
      <c r="J92" s="339"/>
      <c r="K92" s="339"/>
      <c r="L92" s="339"/>
      <c r="M92" s="339"/>
      <c r="N92" s="339"/>
      <c r="O92" s="339"/>
      <c r="P92" s="339"/>
      <c r="Q92" s="321">
        <f t="shared" si="3"/>
        <v>97.4</v>
      </c>
      <c r="R92" s="321" t="str">
        <f t="shared" si="4"/>
        <v>NO</v>
      </c>
      <c r="S92" s="321" t="str">
        <f t="shared" si="5"/>
        <v>Inviable Sanitariamente</v>
      </c>
    </row>
    <row r="93" spans="1:19" s="180" customFormat="1" ht="32.1" customHeight="1">
      <c r="A93" s="562" t="s">
        <v>146</v>
      </c>
      <c r="B93" s="563" t="s">
        <v>2644</v>
      </c>
      <c r="C93" s="563" t="s">
        <v>2645</v>
      </c>
      <c r="D93" s="304">
        <v>74</v>
      </c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21"/>
      <c r="R93" s="321"/>
      <c r="S93" s="321"/>
    </row>
    <row r="94" spans="1:19" s="180" customFormat="1" ht="32.1" customHeight="1">
      <c r="A94" s="562" t="s">
        <v>146</v>
      </c>
      <c r="B94" s="563" t="s">
        <v>4050</v>
      </c>
      <c r="C94" s="563" t="s">
        <v>4051</v>
      </c>
      <c r="D94" s="304">
        <v>102</v>
      </c>
      <c r="E94" s="339"/>
      <c r="F94" s="339">
        <v>97.4</v>
      </c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21">
        <f>AVERAGE(E94:P94)</f>
        <v>97.4</v>
      </c>
      <c r="R94" s="321" t="str">
        <f>IF(Q94&lt;5,"SI","NO")</f>
        <v>NO</v>
      </c>
      <c r="S94" s="321" t="str">
        <f>IF(Q94&lt;=5,"Sin Riesgo",IF(Q94 &lt;=14,"Bajo",IF(Q94&lt;=35,"Medio",IF(Q94&lt;=80,"Alto","Inviable Sanitariamente"))))</f>
        <v>Inviable Sanitariamente</v>
      </c>
    </row>
    <row r="95" spans="1:19" s="180" customFormat="1" ht="32.1" customHeight="1">
      <c r="A95" s="562" t="s">
        <v>229</v>
      </c>
      <c r="B95" s="563" t="s">
        <v>3977</v>
      </c>
      <c r="C95" s="563" t="s">
        <v>3978</v>
      </c>
      <c r="D95" s="304">
        <v>34</v>
      </c>
      <c r="E95" s="339"/>
      <c r="F95" s="339"/>
      <c r="G95" s="339"/>
      <c r="H95" s="339"/>
      <c r="I95" s="339"/>
      <c r="J95" s="339"/>
      <c r="K95" s="339"/>
      <c r="L95" s="339"/>
      <c r="M95" s="339"/>
      <c r="N95" s="339">
        <v>97.3</v>
      </c>
      <c r="O95" s="339"/>
      <c r="P95" s="339"/>
      <c r="Q95" s="321">
        <f t="shared" si="3"/>
        <v>97.3</v>
      </c>
      <c r="R95" s="321" t="str">
        <f t="shared" si="4"/>
        <v>NO</v>
      </c>
      <c r="S95" s="321" t="str">
        <f t="shared" si="5"/>
        <v>Inviable Sanitariamente</v>
      </c>
    </row>
    <row r="96" spans="1:19" s="180" customFormat="1" ht="32.1" customHeight="1">
      <c r="A96" s="562" t="s">
        <v>229</v>
      </c>
      <c r="B96" s="563" t="s">
        <v>3979</v>
      </c>
      <c r="C96" s="563" t="s">
        <v>3980</v>
      </c>
      <c r="D96" s="304">
        <v>32</v>
      </c>
      <c r="E96" s="339"/>
      <c r="F96" s="339"/>
      <c r="G96" s="339"/>
      <c r="H96" s="339"/>
      <c r="I96" s="339">
        <v>97.3</v>
      </c>
      <c r="J96" s="339"/>
      <c r="K96" s="339"/>
      <c r="L96" s="339"/>
      <c r="M96" s="339">
        <v>97.3</v>
      </c>
      <c r="N96" s="339"/>
      <c r="O96" s="339"/>
      <c r="P96" s="339"/>
      <c r="Q96" s="321">
        <f t="shared" si="3"/>
        <v>97.3</v>
      </c>
      <c r="R96" s="321" t="str">
        <f t="shared" si="4"/>
        <v>NO</v>
      </c>
      <c r="S96" s="321" t="str">
        <f t="shared" si="5"/>
        <v>Inviable Sanitariamente</v>
      </c>
    </row>
    <row r="97" spans="1:19" s="180" customFormat="1" ht="32.1" customHeight="1">
      <c r="A97" s="562" t="s">
        <v>229</v>
      </c>
      <c r="B97" s="563" t="s">
        <v>2680</v>
      </c>
      <c r="C97" s="563" t="s">
        <v>3981</v>
      </c>
      <c r="D97" s="304">
        <v>25</v>
      </c>
      <c r="E97" s="339"/>
      <c r="F97" s="339"/>
      <c r="G97" s="339"/>
      <c r="H97" s="339"/>
      <c r="I97" s="339"/>
      <c r="J97" s="339"/>
      <c r="K97" s="339"/>
      <c r="L97" s="339"/>
      <c r="M97" s="339"/>
      <c r="N97" s="339">
        <v>97.3</v>
      </c>
      <c r="O97" s="339"/>
      <c r="P97" s="339"/>
      <c r="Q97" s="321">
        <f t="shared" si="3"/>
        <v>97.3</v>
      </c>
      <c r="R97" s="321" t="str">
        <f t="shared" si="4"/>
        <v>NO</v>
      </c>
      <c r="S97" s="321" t="str">
        <f t="shared" si="5"/>
        <v>Inviable Sanitariamente</v>
      </c>
    </row>
    <row r="98" spans="1:19" s="180" customFormat="1" ht="32.1" customHeight="1">
      <c r="A98" s="564" t="s">
        <v>229</v>
      </c>
      <c r="B98" s="563" t="s">
        <v>3982</v>
      </c>
      <c r="C98" s="563" t="s">
        <v>3983</v>
      </c>
      <c r="D98" s="419">
        <v>23</v>
      </c>
      <c r="E98" s="407"/>
      <c r="F98" s="407"/>
      <c r="G98" s="407"/>
      <c r="H98" s="407"/>
      <c r="I98" s="407"/>
      <c r="J98" s="407"/>
      <c r="K98" s="407"/>
      <c r="L98" s="407"/>
      <c r="M98" s="407">
        <v>97.3</v>
      </c>
      <c r="N98" s="407"/>
      <c r="O98" s="407"/>
      <c r="P98" s="407"/>
      <c r="Q98" s="321">
        <f t="shared" si="3"/>
        <v>97.3</v>
      </c>
      <c r="R98" s="321" t="str">
        <f t="shared" si="4"/>
        <v>NO</v>
      </c>
      <c r="S98" s="321" t="str">
        <f t="shared" si="5"/>
        <v>Inviable Sanitariamente</v>
      </c>
    </row>
    <row r="99" spans="1:19" s="180" customFormat="1" ht="32.1" customHeight="1">
      <c r="A99" s="562" t="s">
        <v>229</v>
      </c>
      <c r="B99" s="563" t="s">
        <v>622</v>
      </c>
      <c r="C99" s="563" t="s">
        <v>3984</v>
      </c>
      <c r="D99" s="304">
        <v>18</v>
      </c>
      <c r="E99" s="339"/>
      <c r="F99" s="339"/>
      <c r="G99" s="339"/>
      <c r="H99" s="339"/>
      <c r="I99" s="339"/>
      <c r="J99" s="339"/>
      <c r="K99" s="339"/>
      <c r="L99" s="339"/>
      <c r="M99" s="339"/>
      <c r="N99" s="339">
        <v>97.3</v>
      </c>
      <c r="O99" s="339"/>
      <c r="P99" s="339"/>
      <c r="Q99" s="321">
        <f t="shared" si="3"/>
        <v>97.3</v>
      </c>
      <c r="R99" s="321" t="str">
        <f t="shared" si="4"/>
        <v>NO</v>
      </c>
      <c r="S99" s="321" t="str">
        <f t="shared" si="5"/>
        <v>Inviable Sanitariamente</v>
      </c>
    </row>
    <row r="100" spans="1:19" s="180" customFormat="1" ht="32.1" customHeight="1">
      <c r="A100" s="564" t="s">
        <v>229</v>
      </c>
      <c r="B100" s="563" t="s">
        <v>2649</v>
      </c>
      <c r="C100" s="563" t="s">
        <v>3985</v>
      </c>
      <c r="D100" s="418">
        <v>19</v>
      </c>
      <c r="E100" s="407"/>
      <c r="F100" s="407"/>
      <c r="G100" s="407"/>
      <c r="H100" s="407"/>
      <c r="I100" s="407"/>
      <c r="J100" s="407"/>
      <c r="K100" s="407"/>
      <c r="L100" s="407"/>
      <c r="M100" s="407"/>
      <c r="N100" s="407">
        <v>97.3</v>
      </c>
      <c r="O100" s="407"/>
      <c r="P100" s="407"/>
      <c r="Q100" s="321">
        <f t="shared" si="3"/>
        <v>97.3</v>
      </c>
      <c r="R100" s="321" t="str">
        <f t="shared" si="4"/>
        <v>NO</v>
      </c>
      <c r="S100" s="321" t="str">
        <f t="shared" si="5"/>
        <v>Inviable Sanitariamente</v>
      </c>
    </row>
    <row r="101" spans="1:19" s="180" customFormat="1" ht="32.1" customHeight="1">
      <c r="A101" s="562" t="s">
        <v>229</v>
      </c>
      <c r="B101" s="563" t="s">
        <v>231</v>
      </c>
      <c r="C101" s="563" t="s">
        <v>3986</v>
      </c>
      <c r="D101" s="304">
        <v>33</v>
      </c>
      <c r="E101" s="339"/>
      <c r="F101" s="339"/>
      <c r="G101" s="339">
        <v>97.3</v>
      </c>
      <c r="H101" s="339"/>
      <c r="I101" s="339"/>
      <c r="J101" s="339"/>
      <c r="K101" s="339"/>
      <c r="L101" s="339"/>
      <c r="M101" s="339"/>
      <c r="N101" s="339"/>
      <c r="O101" s="339"/>
      <c r="P101" s="339"/>
      <c r="Q101" s="321">
        <f t="shared" si="3"/>
        <v>97.3</v>
      </c>
      <c r="R101" s="321" t="str">
        <f t="shared" si="4"/>
        <v>NO</v>
      </c>
      <c r="S101" s="321" t="str">
        <f t="shared" si="5"/>
        <v>Inviable Sanitariamente</v>
      </c>
    </row>
    <row r="102" spans="1:19" s="180" customFormat="1" ht="32.1" customHeight="1">
      <c r="A102" s="564" t="s">
        <v>229</v>
      </c>
      <c r="B102" s="563" t="s">
        <v>755</v>
      </c>
      <c r="C102" s="563" t="s">
        <v>3987</v>
      </c>
      <c r="D102" s="420">
        <v>52</v>
      </c>
      <c r="E102" s="47"/>
      <c r="F102" s="47"/>
      <c r="G102" s="47"/>
      <c r="H102" s="47"/>
      <c r="I102" s="47"/>
      <c r="J102" s="47">
        <v>97.3</v>
      </c>
      <c r="K102" s="47"/>
      <c r="L102" s="47"/>
      <c r="M102" s="47"/>
      <c r="N102" s="47"/>
      <c r="O102" s="47"/>
      <c r="P102" s="47"/>
      <c r="Q102" s="321">
        <f t="shared" si="3"/>
        <v>97.3</v>
      </c>
      <c r="R102" s="321" t="str">
        <f t="shared" si="4"/>
        <v>NO</v>
      </c>
      <c r="S102" s="321" t="str">
        <f t="shared" si="5"/>
        <v>Inviable Sanitariamente</v>
      </c>
    </row>
    <row r="103" spans="1:19" s="180" customFormat="1" ht="32.1" customHeight="1">
      <c r="A103" s="562" t="s">
        <v>229</v>
      </c>
      <c r="B103" s="563" t="s">
        <v>3988</v>
      </c>
      <c r="C103" s="563" t="s">
        <v>3989</v>
      </c>
      <c r="D103" s="429">
        <v>22</v>
      </c>
      <c r="E103" s="339"/>
      <c r="F103" s="339"/>
      <c r="G103" s="339"/>
      <c r="H103" s="339"/>
      <c r="I103" s="339"/>
      <c r="J103" s="339"/>
      <c r="K103" s="339"/>
      <c r="L103" s="339"/>
      <c r="M103" s="339"/>
      <c r="N103" s="339">
        <v>97.3</v>
      </c>
      <c r="O103" s="339"/>
      <c r="P103" s="339"/>
      <c r="Q103" s="321">
        <f t="shared" si="3"/>
        <v>97.3</v>
      </c>
      <c r="R103" s="321" t="str">
        <f t="shared" si="4"/>
        <v>NO</v>
      </c>
      <c r="S103" s="321" t="str">
        <f t="shared" si="5"/>
        <v>Inviable Sanitariamente</v>
      </c>
    </row>
    <row r="104" spans="1:19" s="180" customFormat="1" ht="32.1" customHeight="1">
      <c r="A104" s="404" t="s">
        <v>229</v>
      </c>
      <c r="B104" s="302" t="s">
        <v>1150</v>
      </c>
      <c r="C104" s="302" t="s">
        <v>3990</v>
      </c>
      <c r="D104" s="420">
        <v>32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>
        <v>97.3</v>
      </c>
      <c r="P104" s="47"/>
      <c r="Q104" s="321">
        <f t="shared" si="3"/>
        <v>97.3</v>
      </c>
      <c r="R104" s="321" t="str">
        <f t="shared" si="4"/>
        <v>NO</v>
      </c>
      <c r="S104" s="321" t="str">
        <f t="shared" si="5"/>
        <v>Inviable Sanitariamente</v>
      </c>
    </row>
    <row r="105" spans="1:19" s="180" customFormat="1" ht="32.1" customHeight="1">
      <c r="A105" s="404" t="s">
        <v>229</v>
      </c>
      <c r="B105" s="302" t="s">
        <v>2646</v>
      </c>
      <c r="C105" s="302" t="s">
        <v>2647</v>
      </c>
      <c r="D105" s="346">
        <v>75</v>
      </c>
      <c r="E105" s="426"/>
      <c r="F105" s="426"/>
      <c r="G105" s="426"/>
      <c r="H105" s="426"/>
      <c r="I105" s="426"/>
      <c r="J105" s="426"/>
      <c r="K105" s="426"/>
      <c r="L105" s="426"/>
      <c r="M105" s="426"/>
      <c r="N105" s="430">
        <v>97.3</v>
      </c>
      <c r="O105" s="416"/>
      <c r="P105" s="416"/>
      <c r="Q105" s="321">
        <f>AVERAGE(E105:P105)</f>
        <v>97.3</v>
      </c>
      <c r="R105" s="321" t="str">
        <f>IF(Q105&lt;5,"SI","NO")</f>
        <v>NO</v>
      </c>
      <c r="S105" s="321" t="str">
        <f>IF(Q105&lt;=5,"Sin Riesgo",IF(Q105 &lt;=14,"Bajo",IF(Q105&lt;=35,"Medio",IF(Q105&lt;=80,"Alto","Inviable Sanitariamente"))))</f>
        <v>Inviable Sanitariamente</v>
      </c>
    </row>
    <row r="106" spans="1:19" s="180" customFormat="1" ht="32.1" customHeight="1">
      <c r="A106" s="404" t="s">
        <v>229</v>
      </c>
      <c r="B106" s="302" t="s">
        <v>949</v>
      </c>
      <c r="C106" s="302" t="s">
        <v>2648</v>
      </c>
      <c r="D106" s="346">
        <v>65</v>
      </c>
      <c r="E106" s="469"/>
      <c r="F106" s="47"/>
      <c r="G106" s="47"/>
      <c r="H106" s="47"/>
      <c r="I106" s="47"/>
      <c r="J106" s="47"/>
      <c r="K106" s="47"/>
      <c r="L106" s="47"/>
      <c r="M106" s="47"/>
      <c r="N106" s="417">
        <v>97.3</v>
      </c>
      <c r="O106" s="407"/>
      <c r="P106" s="407"/>
      <c r="Q106" s="321">
        <f t="shared" si="3"/>
        <v>97.3</v>
      </c>
      <c r="R106" s="321" t="str">
        <f t="shared" si="4"/>
        <v>NO</v>
      </c>
      <c r="S106" s="321" t="str">
        <f t="shared" si="5"/>
        <v>Inviable Sanitariamente</v>
      </c>
    </row>
    <row r="107" spans="1:19" s="180" customFormat="1" ht="32.1" customHeight="1">
      <c r="A107" s="404" t="s">
        <v>229</v>
      </c>
      <c r="B107" s="302" t="s">
        <v>2651</v>
      </c>
      <c r="C107" s="302" t="s">
        <v>2652</v>
      </c>
      <c r="D107" s="346">
        <v>243</v>
      </c>
      <c r="E107" s="528"/>
      <c r="F107" s="407">
        <v>97.3</v>
      </c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24">
        <f>AVERAGE(E107:P107)</f>
        <v>97.3</v>
      </c>
      <c r="R107" s="321" t="str">
        <f t="shared" si="4"/>
        <v>NO</v>
      </c>
      <c r="S107" s="321" t="str">
        <f t="shared" si="5"/>
        <v>Inviable Sanitariamente</v>
      </c>
    </row>
    <row r="108" spans="1:19" s="180" customFormat="1" ht="32.1" customHeight="1">
      <c r="A108" s="562" t="s">
        <v>229</v>
      </c>
      <c r="B108" s="563" t="s">
        <v>2653</v>
      </c>
      <c r="C108" s="563" t="s">
        <v>2654</v>
      </c>
      <c r="D108" s="304">
        <v>36</v>
      </c>
      <c r="E108" s="531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21"/>
      <c r="R108" s="321"/>
      <c r="S108" s="321"/>
    </row>
    <row r="109" spans="1:19" s="180" customFormat="1" ht="32.1" customHeight="1">
      <c r="A109" s="562" t="s">
        <v>229</v>
      </c>
      <c r="B109" s="563" t="s">
        <v>96</v>
      </c>
      <c r="C109" s="563" t="s">
        <v>2655</v>
      </c>
      <c r="D109" s="304">
        <v>36</v>
      </c>
      <c r="E109" s="531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21"/>
      <c r="R109" s="321"/>
      <c r="S109" s="321"/>
    </row>
    <row r="110" spans="1:19" s="180" customFormat="1" ht="32.1" customHeight="1">
      <c r="A110" s="562" t="s">
        <v>229</v>
      </c>
      <c r="B110" s="563" t="s">
        <v>2656</v>
      </c>
      <c r="C110" s="563" t="s">
        <v>2657</v>
      </c>
      <c r="D110" s="304">
        <v>32</v>
      </c>
      <c r="E110" s="531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21"/>
      <c r="R110" s="321"/>
      <c r="S110" s="321"/>
    </row>
    <row r="111" spans="1:19" s="180" customFormat="1" ht="32.1" customHeight="1">
      <c r="A111" s="562" t="s">
        <v>229</v>
      </c>
      <c r="B111" s="563" t="s">
        <v>2658</v>
      </c>
      <c r="C111" s="563" t="s">
        <v>2659</v>
      </c>
      <c r="D111" s="304">
        <v>49</v>
      </c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21"/>
      <c r="R111" s="321"/>
      <c r="S111" s="321"/>
    </row>
    <row r="112" spans="1:19" s="180" customFormat="1" ht="32.1" customHeight="1">
      <c r="A112" s="562" t="s">
        <v>229</v>
      </c>
      <c r="B112" s="563" t="s">
        <v>2660</v>
      </c>
      <c r="C112" s="563" t="s">
        <v>2661</v>
      </c>
      <c r="D112" s="304">
        <v>25</v>
      </c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427"/>
      <c r="R112" s="321"/>
      <c r="S112" s="321"/>
    </row>
    <row r="113" spans="1:19" s="180" customFormat="1" ht="32.1" customHeight="1">
      <c r="A113" s="404" t="s">
        <v>229</v>
      </c>
      <c r="B113" s="302" t="s">
        <v>2650</v>
      </c>
      <c r="C113" s="302" t="s">
        <v>3993</v>
      </c>
      <c r="D113" s="346">
        <v>140</v>
      </c>
      <c r="E113" s="47"/>
      <c r="F113" s="47"/>
      <c r="G113" s="47"/>
      <c r="H113" s="47">
        <v>97.3</v>
      </c>
      <c r="I113" s="47"/>
      <c r="J113" s="47"/>
      <c r="K113" s="47"/>
      <c r="L113" s="47"/>
      <c r="M113" s="47"/>
      <c r="N113" s="47"/>
      <c r="O113" s="47"/>
      <c r="P113" s="47"/>
      <c r="Q113" s="428">
        <f t="shared" ref="Q113:Q159" si="6">AVERAGE(E113:P113)</f>
        <v>97.3</v>
      </c>
      <c r="R113" s="321" t="str">
        <f t="shared" si="4"/>
        <v>NO</v>
      </c>
      <c r="S113" s="321" t="str">
        <f t="shared" si="5"/>
        <v>Inviable Sanitariamente</v>
      </c>
    </row>
    <row r="114" spans="1:19" s="180" customFormat="1" ht="32.1" customHeight="1">
      <c r="A114" s="404" t="s">
        <v>229</v>
      </c>
      <c r="B114" s="302" t="s">
        <v>2662</v>
      </c>
      <c r="C114" s="302" t="s">
        <v>2663</v>
      </c>
      <c r="D114" s="399">
        <v>70</v>
      </c>
      <c r="E114" s="47"/>
      <c r="F114" s="47"/>
      <c r="G114" s="47"/>
      <c r="H114" s="47"/>
      <c r="I114" s="47"/>
      <c r="J114" s="47"/>
      <c r="K114" s="47"/>
      <c r="L114" s="47">
        <v>97.3</v>
      </c>
      <c r="M114" s="47"/>
      <c r="N114" s="47"/>
      <c r="O114" s="47"/>
      <c r="P114" s="47"/>
      <c r="Q114" s="427">
        <f t="shared" si="6"/>
        <v>97.3</v>
      </c>
      <c r="R114" s="321" t="str">
        <f t="shared" si="4"/>
        <v>NO</v>
      </c>
      <c r="S114" s="321" t="str">
        <f t="shared" si="5"/>
        <v>Inviable Sanitariamente</v>
      </c>
    </row>
    <row r="115" spans="1:19" s="180" customFormat="1" ht="32.1" customHeight="1">
      <c r="A115" s="404" t="s">
        <v>229</v>
      </c>
      <c r="B115" s="302" t="s">
        <v>2635</v>
      </c>
      <c r="C115" s="302" t="s">
        <v>2664</v>
      </c>
      <c r="D115" s="346">
        <v>30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>
        <v>97.3</v>
      </c>
      <c r="O115" s="47"/>
      <c r="P115" s="47"/>
      <c r="Q115" s="427">
        <f t="shared" si="6"/>
        <v>97.3</v>
      </c>
      <c r="R115" s="321" t="str">
        <f t="shared" si="4"/>
        <v>NO</v>
      </c>
      <c r="S115" s="321" t="str">
        <f t="shared" si="5"/>
        <v>Inviable Sanitariamente</v>
      </c>
    </row>
    <row r="116" spans="1:19" s="180" customFormat="1" ht="32.1" customHeight="1">
      <c r="A116" s="404" t="s">
        <v>229</v>
      </c>
      <c r="B116" s="302" t="s">
        <v>626</v>
      </c>
      <c r="C116" s="302" t="s">
        <v>2665</v>
      </c>
      <c r="D116" s="346">
        <v>30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>
        <v>97.3</v>
      </c>
      <c r="O116" s="47"/>
      <c r="P116" s="47"/>
      <c r="Q116" s="427">
        <f t="shared" si="6"/>
        <v>97.3</v>
      </c>
      <c r="R116" s="321" t="str">
        <f t="shared" si="4"/>
        <v>NO</v>
      </c>
      <c r="S116" s="321" t="str">
        <f t="shared" si="5"/>
        <v>Inviable Sanitariamente</v>
      </c>
    </row>
    <row r="117" spans="1:19" s="180" customFormat="1" ht="32.1" customHeight="1">
      <c r="A117" s="404" t="s">
        <v>229</v>
      </c>
      <c r="B117" s="302" t="s">
        <v>2666</v>
      </c>
      <c r="C117" s="302" t="s">
        <v>2667</v>
      </c>
      <c r="D117" s="346">
        <v>30</v>
      </c>
      <c r="E117" s="47"/>
      <c r="F117" s="47"/>
      <c r="G117" s="47"/>
      <c r="H117" s="47"/>
      <c r="I117" s="47"/>
      <c r="J117" s="47"/>
      <c r="K117" s="47"/>
      <c r="L117" s="47"/>
      <c r="M117" s="47">
        <v>97.3</v>
      </c>
      <c r="N117" s="47"/>
      <c r="O117" s="47"/>
      <c r="P117" s="47"/>
      <c r="Q117" s="427">
        <f t="shared" si="6"/>
        <v>97.3</v>
      </c>
      <c r="R117" s="321" t="str">
        <f t="shared" si="4"/>
        <v>NO</v>
      </c>
      <c r="S117" s="321" t="str">
        <f t="shared" si="5"/>
        <v>Inviable Sanitariamente</v>
      </c>
    </row>
    <row r="118" spans="1:19" s="180" customFormat="1" ht="32.1" customHeight="1">
      <c r="A118" s="404" t="s">
        <v>229</v>
      </c>
      <c r="B118" s="302" t="s">
        <v>2668</v>
      </c>
      <c r="C118" s="302" t="s">
        <v>2669</v>
      </c>
      <c r="D118" s="346">
        <v>39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>
        <v>97.3</v>
      </c>
      <c r="P118" s="47"/>
      <c r="Q118" s="427">
        <f t="shared" si="6"/>
        <v>97.3</v>
      </c>
      <c r="R118" s="321" t="str">
        <f t="shared" si="4"/>
        <v>NO</v>
      </c>
      <c r="S118" s="321" t="str">
        <f t="shared" si="5"/>
        <v>Inviable Sanitariamente</v>
      </c>
    </row>
    <row r="119" spans="1:19" s="180" customFormat="1" ht="32.1" customHeight="1">
      <c r="A119" s="404" t="s">
        <v>229</v>
      </c>
      <c r="B119" s="302" t="s">
        <v>2670</v>
      </c>
      <c r="C119" s="302" t="s">
        <v>2671</v>
      </c>
      <c r="D119" s="399">
        <v>104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>
        <v>97.3</v>
      </c>
      <c r="O119" s="47"/>
      <c r="P119" s="47"/>
      <c r="Q119" s="427">
        <f t="shared" si="6"/>
        <v>97.3</v>
      </c>
      <c r="R119" s="321" t="str">
        <f t="shared" si="4"/>
        <v>NO</v>
      </c>
      <c r="S119" s="321" t="str">
        <f t="shared" si="5"/>
        <v>Inviable Sanitariamente</v>
      </c>
    </row>
    <row r="120" spans="1:19" s="180" customFormat="1" ht="32.1" customHeight="1">
      <c r="A120" s="562" t="s">
        <v>229</v>
      </c>
      <c r="B120" s="563" t="s">
        <v>2672</v>
      </c>
      <c r="C120" s="563" t="s">
        <v>2673</v>
      </c>
      <c r="D120" s="304">
        <v>28</v>
      </c>
      <c r="E120" s="339"/>
      <c r="F120" s="339"/>
      <c r="G120" s="339"/>
      <c r="H120" s="339"/>
      <c r="I120" s="339">
        <v>97.3</v>
      </c>
      <c r="J120" s="339"/>
      <c r="K120" s="339"/>
      <c r="L120" s="339"/>
      <c r="M120" s="339"/>
      <c r="N120" s="339"/>
      <c r="O120" s="339"/>
      <c r="P120" s="339"/>
      <c r="Q120" s="427">
        <f t="shared" si="6"/>
        <v>97.3</v>
      </c>
      <c r="R120" s="321" t="str">
        <f t="shared" si="4"/>
        <v>NO</v>
      </c>
      <c r="S120" s="321" t="str">
        <f t="shared" si="5"/>
        <v>Inviable Sanitariamente</v>
      </c>
    </row>
    <row r="121" spans="1:19" s="180" customFormat="1" ht="32.1" customHeight="1">
      <c r="A121" s="564" t="s">
        <v>229</v>
      </c>
      <c r="B121" s="563" t="s">
        <v>2674</v>
      </c>
      <c r="C121" s="563" t="s">
        <v>2675</v>
      </c>
      <c r="D121" s="346">
        <v>119</v>
      </c>
      <c r="E121" s="47"/>
      <c r="F121" s="47"/>
      <c r="G121" s="47"/>
      <c r="H121" s="47"/>
      <c r="I121" s="47">
        <v>97.3</v>
      </c>
      <c r="J121" s="47"/>
      <c r="K121" s="47"/>
      <c r="L121" s="47"/>
      <c r="M121" s="47"/>
      <c r="N121" s="47"/>
      <c r="O121" s="47"/>
      <c r="P121" s="47"/>
      <c r="Q121" s="321">
        <f t="shared" si="6"/>
        <v>97.3</v>
      </c>
      <c r="R121" s="321" t="str">
        <f t="shared" si="4"/>
        <v>NO</v>
      </c>
      <c r="S121" s="321" t="str">
        <f t="shared" si="5"/>
        <v>Inviable Sanitariamente</v>
      </c>
    </row>
    <row r="122" spans="1:19" s="180" customFormat="1" ht="32.1" customHeight="1">
      <c r="A122" s="564" t="s">
        <v>229</v>
      </c>
      <c r="B122" s="563" t="s">
        <v>2676</v>
      </c>
      <c r="C122" s="563" t="s">
        <v>2677</v>
      </c>
      <c r="D122" s="346">
        <v>25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>
        <v>97.3</v>
      </c>
      <c r="O122" s="47"/>
      <c r="P122" s="47"/>
      <c r="Q122" s="321">
        <f t="shared" si="6"/>
        <v>97.3</v>
      </c>
      <c r="R122" s="321" t="str">
        <f t="shared" si="4"/>
        <v>NO</v>
      </c>
      <c r="S122" s="321" t="str">
        <f t="shared" si="5"/>
        <v>Inviable Sanitariamente</v>
      </c>
    </row>
    <row r="123" spans="1:19" s="180" customFormat="1" ht="32.1" customHeight="1">
      <c r="A123" s="564" t="s">
        <v>229</v>
      </c>
      <c r="B123" s="563" t="s">
        <v>2678</v>
      </c>
      <c r="C123" s="563" t="s">
        <v>2679</v>
      </c>
      <c r="D123" s="425">
        <v>52</v>
      </c>
      <c r="E123" s="426"/>
      <c r="F123" s="426"/>
      <c r="G123" s="426"/>
      <c r="H123" s="426"/>
      <c r="I123" s="426">
        <v>97.3</v>
      </c>
      <c r="J123" s="426"/>
      <c r="K123" s="426"/>
      <c r="L123" s="426"/>
      <c r="M123" s="426"/>
      <c r="N123" s="426"/>
      <c r="O123" s="426"/>
      <c r="P123" s="426"/>
      <c r="Q123" s="321">
        <f t="shared" si="6"/>
        <v>97.3</v>
      </c>
      <c r="R123" s="321" t="str">
        <f t="shared" si="4"/>
        <v>NO</v>
      </c>
      <c r="S123" s="321" t="str">
        <f t="shared" si="5"/>
        <v>Inviable Sanitariamente</v>
      </c>
    </row>
    <row r="124" spans="1:19" s="180" customFormat="1" ht="32.1" customHeight="1">
      <c r="A124" s="564" t="s">
        <v>229</v>
      </c>
      <c r="B124" s="563" t="s">
        <v>2681</v>
      </c>
      <c r="C124" s="563" t="s">
        <v>2682</v>
      </c>
      <c r="D124" s="420">
        <v>49</v>
      </c>
      <c r="E124" s="47"/>
      <c r="F124" s="47"/>
      <c r="G124" s="47"/>
      <c r="H124" s="47"/>
      <c r="I124" s="47">
        <v>97.3</v>
      </c>
      <c r="J124" s="47"/>
      <c r="K124" s="47"/>
      <c r="L124" s="47"/>
      <c r="M124" s="47"/>
      <c r="N124" s="47"/>
      <c r="O124" s="417"/>
      <c r="P124" s="407"/>
      <c r="Q124" s="321">
        <f t="shared" si="6"/>
        <v>97.3</v>
      </c>
      <c r="R124" s="321" t="str">
        <f t="shared" si="4"/>
        <v>NO</v>
      </c>
      <c r="S124" s="321" t="str">
        <f t="shared" si="5"/>
        <v>Inviable Sanitariamente</v>
      </c>
    </row>
    <row r="125" spans="1:19" s="180" customFormat="1" ht="32.1" customHeight="1">
      <c r="A125" s="564" t="s">
        <v>229</v>
      </c>
      <c r="B125" s="563" t="s">
        <v>2683</v>
      </c>
      <c r="C125" s="563" t="s">
        <v>2684</v>
      </c>
      <c r="D125" s="419">
        <v>28</v>
      </c>
      <c r="E125" s="421"/>
      <c r="F125" s="421"/>
      <c r="G125" s="421"/>
      <c r="H125" s="421"/>
      <c r="I125" s="421"/>
      <c r="J125" s="421"/>
      <c r="K125" s="421"/>
      <c r="L125" s="421"/>
      <c r="M125" s="421"/>
      <c r="N125" s="407">
        <v>97.3</v>
      </c>
      <c r="O125" s="407"/>
      <c r="P125" s="407"/>
      <c r="Q125" s="321">
        <f t="shared" si="6"/>
        <v>97.3</v>
      </c>
      <c r="R125" s="321" t="str">
        <f t="shared" si="4"/>
        <v>NO</v>
      </c>
      <c r="S125" s="321" t="str">
        <f t="shared" si="5"/>
        <v>Inviable Sanitariamente</v>
      </c>
    </row>
    <row r="126" spans="1:19" s="180" customFormat="1" ht="32.1" customHeight="1">
      <c r="A126" s="564" t="s">
        <v>229</v>
      </c>
      <c r="B126" s="563" t="s">
        <v>2685</v>
      </c>
      <c r="C126" s="563" t="s">
        <v>2686</v>
      </c>
      <c r="D126" s="419">
        <v>48</v>
      </c>
      <c r="E126" s="421"/>
      <c r="F126" s="421"/>
      <c r="G126" s="421"/>
      <c r="H126" s="421"/>
      <c r="I126" s="421"/>
      <c r="J126" s="421"/>
      <c r="K126" s="421"/>
      <c r="L126" s="421"/>
      <c r="M126" s="421">
        <v>97.3</v>
      </c>
      <c r="N126" s="407"/>
      <c r="O126" s="407"/>
      <c r="P126" s="407"/>
      <c r="Q126" s="321">
        <f t="shared" si="6"/>
        <v>97.3</v>
      </c>
      <c r="R126" s="321" t="str">
        <f t="shared" si="4"/>
        <v>NO</v>
      </c>
      <c r="S126" s="321" t="str">
        <f t="shared" si="5"/>
        <v>Inviable Sanitariamente</v>
      </c>
    </row>
    <row r="127" spans="1:19" s="180" customFormat="1" ht="32.1" customHeight="1">
      <c r="A127" s="564" t="s">
        <v>229</v>
      </c>
      <c r="B127" s="563" t="s">
        <v>2687</v>
      </c>
      <c r="C127" s="563" t="s">
        <v>2688</v>
      </c>
      <c r="D127" s="418">
        <v>35</v>
      </c>
      <c r="E127" s="407"/>
      <c r="F127" s="407"/>
      <c r="G127" s="407"/>
      <c r="H127" s="407"/>
      <c r="I127" s="407"/>
      <c r="J127" s="407"/>
      <c r="K127" s="407"/>
      <c r="L127" s="407"/>
      <c r="M127" s="407"/>
      <c r="N127" s="407">
        <v>97.3</v>
      </c>
      <c r="O127" s="407"/>
      <c r="P127" s="407"/>
      <c r="Q127" s="321">
        <f t="shared" si="6"/>
        <v>97.3</v>
      </c>
      <c r="R127" s="321" t="str">
        <f t="shared" si="4"/>
        <v>NO</v>
      </c>
      <c r="S127" s="321" t="str">
        <f t="shared" si="5"/>
        <v>Inviable Sanitariamente</v>
      </c>
    </row>
    <row r="128" spans="1:19" s="180" customFormat="1" ht="32.1" customHeight="1">
      <c r="A128" s="562" t="s">
        <v>229</v>
      </c>
      <c r="B128" s="563" t="s">
        <v>2689</v>
      </c>
      <c r="C128" s="563" t="s">
        <v>2690</v>
      </c>
      <c r="D128" s="304">
        <v>13</v>
      </c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21"/>
      <c r="R128" s="321"/>
      <c r="S128" s="321"/>
    </row>
    <row r="129" spans="1:19" s="180" customFormat="1" ht="32.1" customHeight="1">
      <c r="A129" s="564" t="s">
        <v>229</v>
      </c>
      <c r="B129" s="563" t="s">
        <v>1</v>
      </c>
      <c r="C129" s="563" t="s">
        <v>2691</v>
      </c>
      <c r="D129" s="418">
        <v>33</v>
      </c>
      <c r="E129" s="407"/>
      <c r="F129" s="407"/>
      <c r="G129" s="407"/>
      <c r="H129" s="407">
        <v>97.3</v>
      </c>
      <c r="I129" s="407"/>
      <c r="J129" s="407"/>
      <c r="K129" s="407"/>
      <c r="L129" s="407"/>
      <c r="M129" s="407"/>
      <c r="N129" s="407"/>
      <c r="O129" s="407"/>
      <c r="P129" s="407"/>
      <c r="Q129" s="321">
        <f t="shared" si="6"/>
        <v>97.3</v>
      </c>
      <c r="R129" s="321" t="str">
        <f t="shared" si="4"/>
        <v>NO</v>
      </c>
      <c r="S129" s="321" t="str">
        <f t="shared" si="5"/>
        <v>Inviable Sanitariamente</v>
      </c>
    </row>
    <row r="130" spans="1:19" s="180" customFormat="1" ht="32.1" customHeight="1">
      <c r="A130" s="562" t="s">
        <v>229</v>
      </c>
      <c r="B130" s="563" t="s">
        <v>231</v>
      </c>
      <c r="C130" s="563" t="s">
        <v>4471</v>
      </c>
      <c r="D130" s="304">
        <v>18</v>
      </c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21"/>
      <c r="R130" s="321"/>
      <c r="S130" s="321"/>
    </row>
    <row r="131" spans="1:19" s="180" customFormat="1" ht="32.1" customHeight="1">
      <c r="A131" s="562" t="s">
        <v>229</v>
      </c>
      <c r="B131" s="563" t="s">
        <v>1139</v>
      </c>
      <c r="C131" s="563" t="s">
        <v>2692</v>
      </c>
      <c r="D131" s="304">
        <v>30</v>
      </c>
      <c r="E131" s="339"/>
      <c r="F131" s="339">
        <v>97.3</v>
      </c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21">
        <f>AVERAGE(E131:P131)</f>
        <v>97.3</v>
      </c>
      <c r="R131" s="321" t="str">
        <f>IF(Q131&lt;5,"SI","NO")</f>
        <v>NO</v>
      </c>
      <c r="S131" s="321" t="str">
        <f>IF(Q131&lt;=5,"Sin Riesgo",IF(Q131 &lt;=14,"Bajo",IF(Q131&lt;=35,"Medio",IF(Q131&lt;=80,"Alto","Inviable Sanitariamente"))))</f>
        <v>Inviable Sanitariamente</v>
      </c>
    </row>
    <row r="132" spans="1:19" s="180" customFormat="1" ht="32.1" customHeight="1">
      <c r="A132" s="562" t="s">
        <v>229</v>
      </c>
      <c r="B132" s="563" t="s">
        <v>3991</v>
      </c>
      <c r="C132" s="563" t="s">
        <v>3992</v>
      </c>
      <c r="D132" s="304">
        <v>24</v>
      </c>
      <c r="E132" s="339"/>
      <c r="F132" s="339"/>
      <c r="G132" s="339"/>
      <c r="H132" s="339"/>
      <c r="I132" s="339"/>
      <c r="J132" s="339"/>
      <c r="K132" s="339"/>
      <c r="L132" s="339"/>
      <c r="M132" s="339"/>
      <c r="N132" s="339">
        <v>97.3</v>
      </c>
      <c r="O132" s="339"/>
      <c r="P132" s="339"/>
      <c r="Q132" s="321">
        <f t="shared" si="6"/>
        <v>97.3</v>
      </c>
      <c r="R132" s="321" t="str">
        <f t="shared" si="4"/>
        <v>NO</v>
      </c>
      <c r="S132" s="321" t="str">
        <f t="shared" si="5"/>
        <v>Inviable Sanitariamente</v>
      </c>
    </row>
    <row r="133" spans="1:19" s="180" customFormat="1" ht="32.1" customHeight="1">
      <c r="A133" s="404" t="s">
        <v>229</v>
      </c>
      <c r="B133" s="302" t="s">
        <v>2693</v>
      </c>
      <c r="C133" s="302" t="s">
        <v>2694</v>
      </c>
      <c r="D133" s="346">
        <v>62</v>
      </c>
      <c r="E133" s="47"/>
      <c r="F133" s="47"/>
      <c r="G133" s="47"/>
      <c r="H133" s="47"/>
      <c r="I133" s="47"/>
      <c r="J133" s="47"/>
      <c r="K133" s="47"/>
      <c r="L133" s="47"/>
      <c r="M133" s="47">
        <v>97.3</v>
      </c>
      <c r="N133" s="47"/>
      <c r="O133" s="47"/>
      <c r="P133" s="47"/>
      <c r="Q133" s="321">
        <f t="shared" si="6"/>
        <v>97.3</v>
      </c>
      <c r="R133" s="321" t="str">
        <f t="shared" si="4"/>
        <v>NO</v>
      </c>
      <c r="S133" s="321" t="str">
        <f t="shared" si="5"/>
        <v>Inviable Sanitariamente</v>
      </c>
    </row>
    <row r="134" spans="1:19" s="180" customFormat="1" ht="32.1" customHeight="1">
      <c r="A134" s="404" t="s">
        <v>229</v>
      </c>
      <c r="B134" s="302" t="s">
        <v>2695</v>
      </c>
      <c r="C134" s="302" t="s">
        <v>2696</v>
      </c>
      <c r="D134" s="304">
        <v>65</v>
      </c>
      <c r="E134" s="339"/>
      <c r="F134" s="339"/>
      <c r="G134" s="339"/>
      <c r="H134" s="339"/>
      <c r="I134" s="339"/>
      <c r="J134" s="339">
        <v>97.3</v>
      </c>
      <c r="K134" s="339"/>
      <c r="L134" s="339"/>
      <c r="M134" s="339"/>
      <c r="N134" s="339"/>
      <c r="O134" s="339"/>
      <c r="P134" s="339"/>
      <c r="Q134" s="321">
        <f t="shared" si="6"/>
        <v>97.3</v>
      </c>
      <c r="R134" s="321" t="str">
        <f t="shared" si="4"/>
        <v>NO</v>
      </c>
      <c r="S134" s="321" t="str">
        <f t="shared" si="5"/>
        <v>Inviable Sanitariamente</v>
      </c>
    </row>
    <row r="135" spans="1:19" s="180" customFormat="1" ht="32.1" customHeight="1">
      <c r="A135" s="404" t="s">
        <v>229</v>
      </c>
      <c r="B135" s="302" t="s">
        <v>2697</v>
      </c>
      <c r="C135" s="302" t="s">
        <v>2698</v>
      </c>
      <c r="D135" s="346">
        <v>25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>
        <v>97.3</v>
      </c>
      <c r="O135" s="47"/>
      <c r="P135" s="47"/>
      <c r="Q135" s="321">
        <f t="shared" si="6"/>
        <v>97.3</v>
      </c>
      <c r="R135" s="321" t="str">
        <f t="shared" si="4"/>
        <v>NO</v>
      </c>
      <c r="S135" s="321" t="str">
        <f t="shared" si="5"/>
        <v>Inviable Sanitariamente</v>
      </c>
    </row>
    <row r="136" spans="1:19" s="180" customFormat="1" ht="32.1" customHeight="1">
      <c r="A136" s="562" t="s">
        <v>229</v>
      </c>
      <c r="B136" s="563" t="s">
        <v>2699</v>
      </c>
      <c r="C136" s="563" t="s">
        <v>2700</v>
      </c>
      <c r="D136" s="304">
        <v>20</v>
      </c>
      <c r="E136" s="339"/>
      <c r="F136" s="339"/>
      <c r="G136" s="339"/>
      <c r="H136" s="339"/>
      <c r="I136" s="339"/>
      <c r="J136" s="339"/>
      <c r="K136" s="339"/>
      <c r="L136" s="339">
        <v>97.3</v>
      </c>
      <c r="M136" s="339"/>
      <c r="N136" s="339"/>
      <c r="O136" s="339"/>
      <c r="P136" s="339"/>
      <c r="Q136" s="321">
        <f t="shared" si="6"/>
        <v>97.3</v>
      </c>
      <c r="R136" s="321" t="str">
        <f t="shared" si="4"/>
        <v>NO</v>
      </c>
      <c r="S136" s="321" t="str">
        <f t="shared" si="5"/>
        <v>Inviable Sanitariamente</v>
      </c>
    </row>
    <row r="137" spans="1:19" s="180" customFormat="1" ht="32.1" customHeight="1">
      <c r="A137" s="564" t="s">
        <v>229</v>
      </c>
      <c r="B137" s="563" t="s">
        <v>1378</v>
      </c>
      <c r="C137" s="563" t="s">
        <v>2701</v>
      </c>
      <c r="D137" s="346">
        <v>37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>
        <v>97.3</v>
      </c>
      <c r="O137" s="47"/>
      <c r="P137" s="47"/>
      <c r="Q137" s="321">
        <f t="shared" si="6"/>
        <v>97.3</v>
      </c>
      <c r="R137" s="321" t="str">
        <f t="shared" si="4"/>
        <v>NO</v>
      </c>
      <c r="S137" s="321" t="str">
        <f t="shared" si="5"/>
        <v>Inviable Sanitariamente</v>
      </c>
    </row>
    <row r="138" spans="1:19" s="180" customFormat="1" ht="32.1" customHeight="1">
      <c r="A138" s="562" t="s">
        <v>229</v>
      </c>
      <c r="B138" s="563" t="s">
        <v>2702</v>
      </c>
      <c r="C138" s="563" t="s">
        <v>2703</v>
      </c>
      <c r="D138" s="304">
        <v>32</v>
      </c>
      <c r="E138" s="339"/>
      <c r="F138" s="339"/>
      <c r="G138" s="339"/>
      <c r="H138" s="339"/>
      <c r="I138" s="339"/>
      <c r="J138" s="339"/>
      <c r="K138" s="339">
        <v>97.3</v>
      </c>
      <c r="L138" s="339"/>
      <c r="M138" s="339"/>
      <c r="N138" s="339"/>
      <c r="O138" s="339"/>
      <c r="P138" s="339"/>
      <c r="Q138" s="321">
        <f t="shared" si="6"/>
        <v>97.3</v>
      </c>
      <c r="R138" s="321" t="str">
        <f t="shared" si="4"/>
        <v>NO</v>
      </c>
      <c r="S138" s="321" t="str">
        <f t="shared" si="5"/>
        <v>Inviable Sanitariamente</v>
      </c>
    </row>
    <row r="139" spans="1:19" s="180" customFormat="1" ht="32.1" customHeight="1">
      <c r="A139" s="564" t="s">
        <v>229</v>
      </c>
      <c r="B139" s="563" t="s">
        <v>2704</v>
      </c>
      <c r="C139" s="563" t="s">
        <v>2705</v>
      </c>
      <c r="D139" s="346">
        <v>46</v>
      </c>
      <c r="E139" s="47"/>
      <c r="F139" s="47"/>
      <c r="G139" s="47">
        <v>65.03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321">
        <f t="shared" si="6"/>
        <v>65.03</v>
      </c>
      <c r="R139" s="321" t="str">
        <f t="shared" si="4"/>
        <v>NO</v>
      </c>
      <c r="S139" s="321" t="str">
        <f t="shared" si="5"/>
        <v>Alto</v>
      </c>
    </row>
    <row r="140" spans="1:19" s="180" customFormat="1" ht="32.1" customHeight="1">
      <c r="A140" s="564" t="s">
        <v>229</v>
      </c>
      <c r="B140" s="563" t="s">
        <v>2706</v>
      </c>
      <c r="C140" s="563" t="s">
        <v>2707</v>
      </c>
      <c r="D140" s="346">
        <v>75</v>
      </c>
      <c r="E140" s="47"/>
      <c r="F140" s="47"/>
      <c r="G140" s="47"/>
      <c r="H140" s="47"/>
      <c r="I140" s="47"/>
      <c r="J140" s="47"/>
      <c r="K140" s="47"/>
      <c r="L140" s="47"/>
      <c r="M140" s="47">
        <v>97.3</v>
      </c>
      <c r="N140" s="47"/>
      <c r="O140" s="47"/>
      <c r="P140" s="47"/>
      <c r="Q140" s="321">
        <f t="shared" si="6"/>
        <v>97.3</v>
      </c>
      <c r="R140" s="321" t="str">
        <f t="shared" si="4"/>
        <v>NO</v>
      </c>
      <c r="S140" s="321" t="str">
        <f t="shared" si="5"/>
        <v>Inviable Sanitariamente</v>
      </c>
    </row>
    <row r="141" spans="1:19" s="180" customFormat="1" ht="38.25" customHeight="1">
      <c r="A141" s="564" t="s">
        <v>229</v>
      </c>
      <c r="B141" s="563" t="s">
        <v>2708</v>
      </c>
      <c r="C141" s="563" t="s">
        <v>2709</v>
      </c>
      <c r="D141" s="346">
        <v>18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>
        <v>97.3</v>
      </c>
      <c r="O141" s="47"/>
      <c r="P141" s="47"/>
      <c r="Q141" s="321">
        <f t="shared" si="6"/>
        <v>97.3</v>
      </c>
      <c r="R141" s="321" t="str">
        <f t="shared" si="4"/>
        <v>NO</v>
      </c>
      <c r="S141" s="321" t="str">
        <f t="shared" si="5"/>
        <v>Inviable Sanitariamente</v>
      </c>
    </row>
    <row r="142" spans="1:19" s="180" customFormat="1" ht="37.5" customHeight="1">
      <c r="A142" s="562" t="s">
        <v>229</v>
      </c>
      <c r="B142" s="563" t="s">
        <v>2710</v>
      </c>
      <c r="C142" s="563" t="s">
        <v>2711</v>
      </c>
      <c r="D142" s="304">
        <v>42</v>
      </c>
      <c r="E142" s="339"/>
      <c r="F142" s="339"/>
      <c r="G142" s="339"/>
      <c r="H142" s="339"/>
      <c r="I142" s="339"/>
      <c r="J142" s="339"/>
      <c r="K142" s="339"/>
      <c r="L142" s="339"/>
      <c r="M142" s="339"/>
      <c r="N142" s="339"/>
      <c r="O142" s="339"/>
      <c r="P142" s="339"/>
      <c r="Q142" s="321"/>
      <c r="R142" s="321"/>
      <c r="S142" s="321"/>
    </row>
    <row r="143" spans="1:19" s="180" customFormat="1" ht="32.1" customHeight="1">
      <c r="A143" s="562" t="s">
        <v>229</v>
      </c>
      <c r="B143" s="563" t="s">
        <v>2712</v>
      </c>
      <c r="C143" s="563" t="s">
        <v>2713</v>
      </c>
      <c r="D143" s="304">
        <v>25</v>
      </c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21"/>
      <c r="R143" s="321"/>
      <c r="S143" s="321"/>
    </row>
    <row r="144" spans="1:19" s="180" customFormat="1" ht="32.1" customHeight="1">
      <c r="A144" s="564" t="s">
        <v>229</v>
      </c>
      <c r="B144" s="563" t="s">
        <v>10</v>
      </c>
      <c r="C144" s="563" t="s">
        <v>2714</v>
      </c>
      <c r="D144" s="418">
        <v>20</v>
      </c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>
        <v>97.3</v>
      </c>
      <c r="P144" s="407"/>
      <c r="Q144" s="321">
        <f t="shared" si="6"/>
        <v>97.3</v>
      </c>
      <c r="R144" s="321" t="str">
        <f t="shared" ref="R144:R189" si="7">IF(Q144&lt;5,"SI","NO")</f>
        <v>NO</v>
      </c>
      <c r="S144" s="321" t="str">
        <f t="shared" ref="S144:S190" si="8">IF(Q144&lt;=5,"Sin Riesgo",IF(Q144 &lt;=14,"Bajo",IF(Q144&lt;=35,"Medio",IF(Q144&lt;=80,"Alto","Inviable Sanitariamente"))))</f>
        <v>Inviable Sanitariamente</v>
      </c>
    </row>
    <row r="145" spans="1:19" s="180" customFormat="1" ht="32.1" customHeight="1">
      <c r="A145" s="562" t="s">
        <v>229</v>
      </c>
      <c r="B145" s="563" t="s">
        <v>2715</v>
      </c>
      <c r="C145" s="563" t="s">
        <v>2716</v>
      </c>
      <c r="D145" s="304">
        <v>20</v>
      </c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21"/>
      <c r="R145" s="321"/>
      <c r="S145" s="321"/>
    </row>
    <row r="146" spans="1:19" s="180" customFormat="1" ht="32.1" customHeight="1">
      <c r="A146" s="562" t="s">
        <v>229</v>
      </c>
      <c r="B146" s="563" t="s">
        <v>2489</v>
      </c>
      <c r="C146" s="563" t="s">
        <v>2717</v>
      </c>
      <c r="D146" s="304">
        <v>24</v>
      </c>
      <c r="E146" s="339"/>
      <c r="F146" s="3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21"/>
      <c r="R146" s="321"/>
      <c r="S146" s="321"/>
    </row>
    <row r="147" spans="1:19" s="180" customFormat="1" ht="32.1" customHeight="1">
      <c r="A147" s="564" t="s">
        <v>229</v>
      </c>
      <c r="B147" s="563" t="s">
        <v>1028</v>
      </c>
      <c r="C147" s="563" t="s">
        <v>2718</v>
      </c>
      <c r="D147" s="346">
        <v>30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>
        <v>97.3</v>
      </c>
      <c r="O147" s="47"/>
      <c r="P147" s="47"/>
      <c r="Q147" s="321">
        <f t="shared" si="6"/>
        <v>97.3</v>
      </c>
      <c r="R147" s="321" t="str">
        <f t="shared" si="7"/>
        <v>NO</v>
      </c>
      <c r="S147" s="321" t="str">
        <f t="shared" si="8"/>
        <v>Inviable Sanitariamente</v>
      </c>
    </row>
    <row r="148" spans="1:19" s="180" customFormat="1" ht="32.1" customHeight="1">
      <c r="A148" s="562" t="s">
        <v>229</v>
      </c>
      <c r="B148" s="563" t="s">
        <v>2719</v>
      </c>
      <c r="C148" s="563" t="s">
        <v>2720</v>
      </c>
      <c r="D148" s="304">
        <v>35</v>
      </c>
      <c r="E148" s="339"/>
      <c r="F148" s="339"/>
      <c r="G148" s="339"/>
      <c r="H148" s="339"/>
      <c r="I148" s="339"/>
      <c r="J148" s="339"/>
      <c r="K148" s="339">
        <v>97.3</v>
      </c>
      <c r="L148" s="339"/>
      <c r="M148" s="339"/>
      <c r="N148" s="339"/>
      <c r="O148" s="339"/>
      <c r="P148" s="339"/>
      <c r="Q148" s="321">
        <f t="shared" si="6"/>
        <v>97.3</v>
      </c>
      <c r="R148" s="321" t="str">
        <f t="shared" si="7"/>
        <v>NO</v>
      </c>
      <c r="S148" s="321" t="str">
        <f t="shared" si="8"/>
        <v>Inviable Sanitariamente</v>
      </c>
    </row>
    <row r="149" spans="1:19" s="180" customFormat="1" ht="32.1" customHeight="1">
      <c r="A149" s="562" t="s">
        <v>229</v>
      </c>
      <c r="B149" s="563" t="s">
        <v>622</v>
      </c>
      <c r="C149" s="563" t="s">
        <v>2721</v>
      </c>
      <c r="D149" s="304">
        <v>67</v>
      </c>
      <c r="E149" s="339"/>
      <c r="F149" s="339"/>
      <c r="G149" s="339"/>
      <c r="H149" s="339"/>
      <c r="I149" s="339"/>
      <c r="J149" s="339"/>
      <c r="K149" s="339"/>
      <c r="L149" s="339"/>
      <c r="M149" s="339"/>
      <c r="N149" s="339">
        <v>97.3</v>
      </c>
      <c r="O149" s="339"/>
      <c r="P149" s="339"/>
      <c r="Q149" s="321">
        <f t="shared" si="6"/>
        <v>97.3</v>
      </c>
      <c r="R149" s="321" t="str">
        <f t="shared" si="7"/>
        <v>NO</v>
      </c>
      <c r="S149" s="321" t="str">
        <f t="shared" si="8"/>
        <v>Inviable Sanitariamente</v>
      </c>
    </row>
    <row r="150" spans="1:19" s="180" customFormat="1" ht="32.1" customHeight="1">
      <c r="A150" s="404" t="s">
        <v>143</v>
      </c>
      <c r="B150" s="302" t="s">
        <v>2722</v>
      </c>
      <c r="C150" s="302" t="s">
        <v>2723</v>
      </c>
      <c r="D150" s="418">
        <v>25</v>
      </c>
      <c r="E150" s="407"/>
      <c r="F150" s="407"/>
      <c r="G150" s="407"/>
      <c r="H150" s="407">
        <v>96.3</v>
      </c>
      <c r="I150" s="407"/>
      <c r="J150" s="407"/>
      <c r="K150" s="407"/>
      <c r="L150" s="407"/>
      <c r="M150" s="407"/>
      <c r="N150" s="407"/>
      <c r="O150" s="407"/>
      <c r="P150" s="407"/>
      <c r="Q150" s="321">
        <f t="shared" si="6"/>
        <v>96.3</v>
      </c>
      <c r="R150" s="321" t="str">
        <f t="shared" si="7"/>
        <v>NO</v>
      </c>
      <c r="S150" s="321" t="str">
        <f t="shared" si="8"/>
        <v>Inviable Sanitariamente</v>
      </c>
    </row>
    <row r="151" spans="1:19" s="180" customFormat="1" ht="32.1" customHeight="1">
      <c r="A151" s="404" t="s">
        <v>143</v>
      </c>
      <c r="B151" s="302" t="s">
        <v>2724</v>
      </c>
      <c r="C151" s="302" t="s">
        <v>2725</v>
      </c>
      <c r="D151" s="418">
        <v>42</v>
      </c>
      <c r="E151" s="407"/>
      <c r="F151" s="407"/>
      <c r="G151" s="407"/>
      <c r="H151" s="407"/>
      <c r="I151" s="407">
        <v>96.3</v>
      </c>
      <c r="J151" s="407"/>
      <c r="K151" s="407"/>
      <c r="L151" s="407"/>
      <c r="M151" s="407"/>
      <c r="N151" s="407"/>
      <c r="O151" s="407"/>
      <c r="P151" s="407"/>
      <c r="Q151" s="321">
        <f t="shared" si="6"/>
        <v>96.3</v>
      </c>
      <c r="R151" s="321" t="str">
        <f t="shared" si="7"/>
        <v>NO</v>
      </c>
      <c r="S151" s="321" t="str">
        <f t="shared" si="8"/>
        <v>Inviable Sanitariamente</v>
      </c>
    </row>
    <row r="152" spans="1:19" s="180" customFormat="1" ht="32.1" customHeight="1">
      <c r="A152" s="404" t="s">
        <v>143</v>
      </c>
      <c r="B152" s="302" t="s">
        <v>2726</v>
      </c>
      <c r="C152" s="302" t="s">
        <v>2727</v>
      </c>
      <c r="D152" s="418">
        <v>60</v>
      </c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>
        <v>96.3</v>
      </c>
      <c r="P152" s="407"/>
      <c r="Q152" s="321">
        <f t="shared" si="6"/>
        <v>96.3</v>
      </c>
      <c r="R152" s="321" t="str">
        <f t="shared" si="7"/>
        <v>NO</v>
      </c>
      <c r="S152" s="321" t="str">
        <f t="shared" si="8"/>
        <v>Inviable Sanitariamente</v>
      </c>
    </row>
    <row r="153" spans="1:19" s="180" customFormat="1" ht="32.1" customHeight="1">
      <c r="A153" s="404" t="s">
        <v>143</v>
      </c>
      <c r="B153" s="302" t="s">
        <v>2728</v>
      </c>
      <c r="C153" s="302" t="s">
        <v>2729</v>
      </c>
      <c r="D153" s="418">
        <v>30</v>
      </c>
      <c r="E153" s="407"/>
      <c r="F153" s="407"/>
      <c r="G153" s="407"/>
      <c r="H153" s="407"/>
      <c r="I153" s="407"/>
      <c r="J153" s="407"/>
      <c r="K153" s="407"/>
      <c r="L153" s="407">
        <v>96.3</v>
      </c>
      <c r="M153" s="407"/>
      <c r="N153" s="407"/>
      <c r="O153" s="407"/>
      <c r="P153" s="407"/>
      <c r="Q153" s="321">
        <f t="shared" si="6"/>
        <v>96.3</v>
      </c>
      <c r="R153" s="321" t="str">
        <f t="shared" si="7"/>
        <v>NO</v>
      </c>
      <c r="S153" s="321" t="str">
        <f t="shared" si="8"/>
        <v>Inviable Sanitariamente</v>
      </c>
    </row>
    <row r="154" spans="1:19" s="180" customFormat="1" ht="32.1" customHeight="1">
      <c r="A154" s="404" t="s">
        <v>143</v>
      </c>
      <c r="B154" s="302" t="s">
        <v>2730</v>
      </c>
      <c r="C154" s="302" t="s">
        <v>4201</v>
      </c>
      <c r="D154" s="418">
        <v>25</v>
      </c>
      <c r="E154" s="407"/>
      <c r="F154" s="407"/>
      <c r="G154" s="407"/>
      <c r="H154" s="407"/>
      <c r="I154" s="407"/>
      <c r="J154" s="407">
        <v>96.3</v>
      </c>
      <c r="K154" s="407"/>
      <c r="L154" s="407"/>
      <c r="M154" s="407"/>
      <c r="N154" s="407"/>
      <c r="O154" s="407"/>
      <c r="P154" s="407"/>
      <c r="Q154" s="321">
        <f t="shared" si="6"/>
        <v>96.3</v>
      </c>
      <c r="R154" s="321" t="str">
        <f t="shared" si="7"/>
        <v>NO</v>
      </c>
      <c r="S154" s="321" t="str">
        <f t="shared" si="8"/>
        <v>Inviable Sanitariamente</v>
      </c>
    </row>
    <row r="155" spans="1:19" s="180" customFormat="1" ht="32.1" customHeight="1">
      <c r="A155" s="404" t="s">
        <v>143</v>
      </c>
      <c r="B155" s="302" t="s">
        <v>2731</v>
      </c>
      <c r="C155" s="302" t="s">
        <v>4202</v>
      </c>
      <c r="D155" s="418">
        <v>45</v>
      </c>
      <c r="E155" s="407"/>
      <c r="F155" s="407"/>
      <c r="G155" s="407"/>
      <c r="H155" s="407"/>
      <c r="I155" s="407"/>
      <c r="J155" s="407"/>
      <c r="K155" s="407"/>
      <c r="L155" s="407"/>
      <c r="M155" s="407">
        <v>96.3</v>
      </c>
      <c r="N155" s="407"/>
      <c r="O155" s="407"/>
      <c r="P155" s="407"/>
      <c r="Q155" s="321">
        <f t="shared" si="6"/>
        <v>96.3</v>
      </c>
      <c r="R155" s="321" t="str">
        <f t="shared" si="7"/>
        <v>NO</v>
      </c>
      <c r="S155" s="321" t="str">
        <f t="shared" si="8"/>
        <v>Inviable Sanitariamente</v>
      </c>
    </row>
    <row r="156" spans="1:19" s="180" customFormat="1" ht="32.1" customHeight="1">
      <c r="A156" s="404" t="s">
        <v>143</v>
      </c>
      <c r="B156" s="302" t="s">
        <v>2732</v>
      </c>
      <c r="C156" s="302" t="s">
        <v>2733</v>
      </c>
      <c r="D156" s="418">
        <v>8</v>
      </c>
      <c r="E156" s="407"/>
      <c r="F156" s="407"/>
      <c r="G156" s="407"/>
      <c r="H156" s="407"/>
      <c r="I156" s="407"/>
      <c r="J156" s="407"/>
      <c r="K156" s="407"/>
      <c r="L156" s="407">
        <v>96.3</v>
      </c>
      <c r="M156" s="407"/>
      <c r="N156" s="407"/>
      <c r="O156" s="407"/>
      <c r="P156" s="407"/>
      <c r="Q156" s="321">
        <f t="shared" si="6"/>
        <v>96.3</v>
      </c>
      <c r="R156" s="321" t="str">
        <f t="shared" si="7"/>
        <v>NO</v>
      </c>
      <c r="S156" s="321" t="str">
        <f t="shared" si="8"/>
        <v>Inviable Sanitariamente</v>
      </c>
    </row>
    <row r="157" spans="1:19" s="180" customFormat="1" ht="32.1" customHeight="1">
      <c r="A157" s="404" t="s">
        <v>143</v>
      </c>
      <c r="B157" s="302" t="s">
        <v>2734</v>
      </c>
      <c r="C157" s="302" t="s">
        <v>4203</v>
      </c>
      <c r="D157" s="419">
        <v>60</v>
      </c>
      <c r="E157" s="407"/>
      <c r="F157" s="407"/>
      <c r="G157" s="407"/>
      <c r="H157" s="407"/>
      <c r="I157" s="407"/>
      <c r="J157" s="407"/>
      <c r="K157" s="407">
        <v>96.3</v>
      </c>
      <c r="L157" s="407"/>
      <c r="M157" s="407"/>
      <c r="N157" s="407"/>
      <c r="O157" s="407"/>
      <c r="P157" s="407"/>
      <c r="Q157" s="321">
        <f t="shared" si="6"/>
        <v>96.3</v>
      </c>
      <c r="R157" s="321" t="str">
        <f t="shared" si="7"/>
        <v>NO</v>
      </c>
      <c r="S157" s="321" t="str">
        <f t="shared" si="8"/>
        <v>Inviable Sanitariamente</v>
      </c>
    </row>
    <row r="158" spans="1:19" s="180" customFormat="1" ht="32.1" customHeight="1">
      <c r="A158" s="404" t="s">
        <v>143</v>
      </c>
      <c r="B158" s="302" t="s">
        <v>2735</v>
      </c>
      <c r="C158" s="302" t="s">
        <v>2736</v>
      </c>
      <c r="D158" s="418">
        <v>72</v>
      </c>
      <c r="E158" s="407"/>
      <c r="F158" s="407"/>
      <c r="G158" s="407">
        <v>96.3</v>
      </c>
      <c r="H158" s="407"/>
      <c r="I158" s="407"/>
      <c r="J158" s="407"/>
      <c r="K158" s="407"/>
      <c r="L158" s="407"/>
      <c r="M158" s="407"/>
      <c r="N158" s="407"/>
      <c r="O158" s="407"/>
      <c r="P158" s="407"/>
      <c r="Q158" s="321">
        <f t="shared" si="6"/>
        <v>96.3</v>
      </c>
      <c r="R158" s="321" t="str">
        <f t="shared" si="7"/>
        <v>NO</v>
      </c>
      <c r="S158" s="321" t="str">
        <f t="shared" si="8"/>
        <v>Inviable Sanitariamente</v>
      </c>
    </row>
    <row r="159" spans="1:19" s="180" customFormat="1" ht="32.1" customHeight="1">
      <c r="A159" s="404" t="s">
        <v>143</v>
      </c>
      <c r="B159" s="302" t="s">
        <v>2737</v>
      </c>
      <c r="C159" s="302" t="s">
        <v>4204</v>
      </c>
      <c r="D159" s="418">
        <v>40</v>
      </c>
      <c r="E159" s="407"/>
      <c r="F159" s="407"/>
      <c r="G159" s="407">
        <v>96.3</v>
      </c>
      <c r="H159" s="407"/>
      <c r="I159" s="407"/>
      <c r="J159" s="407"/>
      <c r="K159" s="407"/>
      <c r="L159" s="407"/>
      <c r="M159" s="407"/>
      <c r="N159" s="407"/>
      <c r="O159" s="407"/>
      <c r="P159" s="407"/>
      <c r="Q159" s="321">
        <f t="shared" si="6"/>
        <v>96.3</v>
      </c>
      <c r="R159" s="321" t="str">
        <f t="shared" si="7"/>
        <v>NO</v>
      </c>
      <c r="S159" s="321" t="str">
        <f t="shared" si="8"/>
        <v>Inviable Sanitariamente</v>
      </c>
    </row>
    <row r="160" spans="1:19" s="180" customFormat="1" ht="32.1" customHeight="1">
      <c r="A160" s="404" t="s">
        <v>143</v>
      </c>
      <c r="B160" s="302" t="s">
        <v>2738</v>
      </c>
      <c r="C160" s="302" t="s">
        <v>4205</v>
      </c>
      <c r="D160" s="419">
        <v>180</v>
      </c>
      <c r="E160" s="407"/>
      <c r="F160" s="407"/>
      <c r="G160" s="407">
        <v>96.3</v>
      </c>
      <c r="H160" s="407"/>
      <c r="I160" s="407"/>
      <c r="J160" s="407"/>
      <c r="K160" s="407"/>
      <c r="L160" s="407"/>
      <c r="M160" s="407"/>
      <c r="N160" s="407"/>
      <c r="O160" s="407"/>
      <c r="P160" s="407"/>
      <c r="Q160" s="321">
        <f>AVERAGE(E160:P160)</f>
        <v>96.3</v>
      </c>
      <c r="R160" s="321" t="str">
        <f>IF(Q160&lt;5,"SI","NO")</f>
        <v>NO</v>
      </c>
      <c r="S160" s="321" t="str">
        <f>IF(Q160&lt;=5,"Sin Riesgo",IF(Q160 &lt;=14,"Bajo",IF(Q160&lt;=35,"Medio",IF(Q160&lt;=80,"Alto","Inviable Sanitariamente"))))</f>
        <v>Inviable Sanitariamente</v>
      </c>
    </row>
    <row r="161" spans="1:20" s="180" customFormat="1" ht="32.1" customHeight="1">
      <c r="A161" s="404" t="s">
        <v>143</v>
      </c>
      <c r="B161" s="302" t="s">
        <v>3994</v>
      </c>
      <c r="C161" s="302" t="s">
        <v>3995</v>
      </c>
      <c r="D161" s="418">
        <v>85</v>
      </c>
      <c r="E161" s="407"/>
      <c r="F161" s="407"/>
      <c r="G161" s="407"/>
      <c r="H161" s="407">
        <v>96.3</v>
      </c>
      <c r="I161" s="407"/>
      <c r="J161" s="407"/>
      <c r="K161" s="407"/>
      <c r="L161" s="407"/>
      <c r="M161" s="407"/>
      <c r="N161" s="407"/>
      <c r="O161" s="407"/>
      <c r="P161" s="407"/>
      <c r="Q161" s="321">
        <f t="shared" ref="Q161:Q213" si="9">AVERAGE(E161:P161)</f>
        <v>96.3</v>
      </c>
      <c r="R161" s="321" t="str">
        <f t="shared" si="7"/>
        <v>NO</v>
      </c>
      <c r="S161" s="321" t="str">
        <f t="shared" si="8"/>
        <v>Inviable Sanitariamente</v>
      </c>
    </row>
    <row r="162" spans="1:20" s="180" customFormat="1" ht="32.1" customHeight="1">
      <c r="A162" s="404" t="s">
        <v>143</v>
      </c>
      <c r="B162" s="302" t="s">
        <v>3996</v>
      </c>
      <c r="C162" s="302" t="s">
        <v>3997</v>
      </c>
      <c r="D162" s="418">
        <v>25</v>
      </c>
      <c r="E162" s="407"/>
      <c r="F162" s="407"/>
      <c r="G162" s="407"/>
      <c r="H162" s="407">
        <v>96.3</v>
      </c>
      <c r="I162" s="407"/>
      <c r="J162" s="407"/>
      <c r="K162" s="407"/>
      <c r="L162" s="407"/>
      <c r="M162" s="407"/>
      <c r="N162" s="407"/>
      <c r="O162" s="407"/>
      <c r="P162" s="407"/>
      <c r="Q162" s="321">
        <f>AVERAGE(E162:P162)</f>
        <v>96.3</v>
      </c>
      <c r="R162" s="321" t="str">
        <f>IF(Q162&lt;5,"SI","NO")</f>
        <v>NO</v>
      </c>
      <c r="S162" s="321" t="str">
        <f>IF(Q162&lt;=5,"Sin Riesgo",IF(Q162 &lt;=14,"Bajo",IF(Q162&lt;=35,"Medio",IF(Q162&lt;=80,"Alto","Inviable Sanitariamente"))))</f>
        <v>Inviable Sanitariamente</v>
      </c>
    </row>
    <row r="163" spans="1:20" s="180" customFormat="1" ht="32.1" customHeight="1">
      <c r="A163" s="404" t="s">
        <v>143</v>
      </c>
      <c r="B163" s="302" t="s">
        <v>3998</v>
      </c>
      <c r="C163" s="302" t="s">
        <v>3999</v>
      </c>
      <c r="D163" s="418">
        <v>40</v>
      </c>
      <c r="E163" s="407"/>
      <c r="F163" s="407"/>
      <c r="G163" s="407">
        <v>96.3</v>
      </c>
      <c r="H163" s="407"/>
      <c r="I163" s="407"/>
      <c r="J163" s="407"/>
      <c r="K163" s="407"/>
      <c r="L163" s="407"/>
      <c r="M163" s="407"/>
      <c r="N163" s="407"/>
      <c r="O163" s="407"/>
      <c r="P163" s="407"/>
      <c r="Q163" s="321">
        <f>AVERAGE(E163:P163)</f>
        <v>96.3</v>
      </c>
      <c r="R163" s="321" t="str">
        <f>IF(Q163&lt;5,"SI","NO")</f>
        <v>NO</v>
      </c>
      <c r="S163" s="321" t="str">
        <f>IF(Q163&lt;=5,"Sin Riesgo",IF(Q163 &lt;=14,"Bajo",IF(Q163&lt;=35,"Medio",IF(Q163&lt;=80,"Alto","Inviable Sanitariamente"))))</f>
        <v>Inviable Sanitariamente</v>
      </c>
    </row>
    <row r="164" spans="1:20" s="180" customFormat="1" ht="32.1" customHeight="1">
      <c r="A164" s="564" t="s">
        <v>143</v>
      </c>
      <c r="B164" s="565" t="s">
        <v>2739</v>
      </c>
      <c r="C164" s="565" t="s">
        <v>2740</v>
      </c>
      <c r="D164" s="304">
        <v>50</v>
      </c>
      <c r="E164" s="339"/>
      <c r="F164" s="339"/>
      <c r="G164" s="339">
        <v>97.4</v>
      </c>
      <c r="H164" s="339"/>
      <c r="I164" s="339"/>
      <c r="J164" s="339"/>
      <c r="K164" s="339"/>
      <c r="L164" s="339"/>
      <c r="M164" s="339"/>
      <c r="N164" s="339"/>
      <c r="O164" s="339"/>
      <c r="P164" s="339"/>
      <c r="Q164" s="321">
        <f t="shared" si="9"/>
        <v>97.4</v>
      </c>
      <c r="R164" s="321" t="str">
        <f t="shared" si="7"/>
        <v>NO</v>
      </c>
      <c r="S164" s="321" t="str">
        <f t="shared" si="8"/>
        <v>Inviable Sanitariamente</v>
      </c>
    </row>
    <row r="165" spans="1:20" s="180" customFormat="1" ht="32.1" customHeight="1">
      <c r="A165" s="564" t="s">
        <v>143</v>
      </c>
      <c r="B165" s="565" t="s">
        <v>2741</v>
      </c>
      <c r="C165" s="565" t="s">
        <v>2742</v>
      </c>
      <c r="D165" s="346">
        <v>12</v>
      </c>
      <c r="E165" s="47"/>
      <c r="F165" s="47"/>
      <c r="G165" s="47"/>
      <c r="H165" s="47"/>
      <c r="I165" s="47"/>
      <c r="J165" s="47"/>
      <c r="K165" s="47"/>
      <c r="L165" s="47">
        <v>96.3</v>
      </c>
      <c r="M165" s="47"/>
      <c r="N165" s="528"/>
      <c r="O165" s="407"/>
      <c r="P165" s="407"/>
      <c r="Q165" s="321">
        <f t="shared" si="9"/>
        <v>96.3</v>
      </c>
      <c r="R165" s="321" t="str">
        <f t="shared" si="7"/>
        <v>NO</v>
      </c>
      <c r="S165" s="321" t="str">
        <f t="shared" si="8"/>
        <v>Inviable Sanitariamente</v>
      </c>
    </row>
    <row r="166" spans="1:20" s="180" customFormat="1" ht="32.1" customHeight="1">
      <c r="A166" s="564" t="s">
        <v>143</v>
      </c>
      <c r="B166" s="565" t="s">
        <v>2743</v>
      </c>
      <c r="C166" s="565" t="s">
        <v>2744</v>
      </c>
      <c r="D166" s="399">
        <v>20</v>
      </c>
      <c r="E166" s="47"/>
      <c r="F166" s="47"/>
      <c r="G166" s="47"/>
      <c r="H166" s="47"/>
      <c r="I166" s="47"/>
      <c r="J166" s="47"/>
      <c r="K166" s="47"/>
      <c r="L166" s="47"/>
      <c r="M166" s="47">
        <v>96.3</v>
      </c>
      <c r="N166" s="528"/>
      <c r="O166" s="407"/>
      <c r="P166" s="407"/>
      <c r="Q166" s="321">
        <f t="shared" si="9"/>
        <v>96.3</v>
      </c>
      <c r="R166" s="321" t="str">
        <f t="shared" si="7"/>
        <v>NO</v>
      </c>
      <c r="S166" s="321" t="str">
        <f t="shared" si="8"/>
        <v>Inviable Sanitariamente</v>
      </c>
    </row>
    <row r="167" spans="1:20" s="180" customFormat="1" ht="32.1" customHeight="1">
      <c r="A167" s="564" t="s">
        <v>143</v>
      </c>
      <c r="B167" s="565" t="s">
        <v>2745</v>
      </c>
      <c r="C167" s="565" t="s">
        <v>2746</v>
      </c>
      <c r="D167" s="346">
        <v>15</v>
      </c>
      <c r="E167" s="47"/>
      <c r="F167" s="47"/>
      <c r="G167" s="47"/>
      <c r="H167" s="47"/>
      <c r="I167" s="47">
        <v>96.3</v>
      </c>
      <c r="J167" s="47"/>
      <c r="K167" s="47"/>
      <c r="L167" s="47"/>
      <c r="M167" s="47"/>
      <c r="N167" s="528"/>
      <c r="O167" s="407"/>
      <c r="P167" s="407"/>
      <c r="Q167" s="321">
        <f t="shared" si="9"/>
        <v>96.3</v>
      </c>
      <c r="R167" s="321" t="str">
        <f t="shared" si="7"/>
        <v>NO</v>
      </c>
      <c r="S167" s="321" t="str">
        <f t="shared" si="8"/>
        <v>Inviable Sanitariamente</v>
      </c>
    </row>
    <row r="168" spans="1:20" s="180" customFormat="1" ht="32.1" customHeight="1">
      <c r="A168" s="564" t="s">
        <v>143</v>
      </c>
      <c r="B168" s="565" t="s">
        <v>2747</v>
      </c>
      <c r="C168" s="565" t="s">
        <v>2748</v>
      </c>
      <c r="D168" s="346">
        <v>45</v>
      </c>
      <c r="E168" s="47"/>
      <c r="F168" s="47"/>
      <c r="G168" s="47"/>
      <c r="H168" s="47"/>
      <c r="I168" s="47"/>
      <c r="J168" s="47"/>
      <c r="K168" s="47"/>
      <c r="L168" s="47"/>
      <c r="M168" s="47">
        <v>96.3</v>
      </c>
      <c r="N168" s="528"/>
      <c r="O168" s="407"/>
      <c r="P168" s="407"/>
      <c r="Q168" s="321">
        <f t="shared" si="9"/>
        <v>96.3</v>
      </c>
      <c r="R168" s="321" t="str">
        <f t="shared" si="7"/>
        <v>NO</v>
      </c>
      <c r="S168" s="321" t="str">
        <f t="shared" si="8"/>
        <v>Inviable Sanitariamente</v>
      </c>
    </row>
    <row r="169" spans="1:20" s="180" customFormat="1" ht="32.1" customHeight="1">
      <c r="A169" s="564" t="s">
        <v>143</v>
      </c>
      <c r="B169" s="565" t="s">
        <v>2749</v>
      </c>
      <c r="C169" s="565" t="s">
        <v>2750</v>
      </c>
      <c r="D169" s="346">
        <v>25</v>
      </c>
      <c r="E169" s="47"/>
      <c r="F169" s="47"/>
      <c r="G169" s="47"/>
      <c r="H169" s="47"/>
      <c r="I169" s="47"/>
      <c r="J169" s="47"/>
      <c r="K169" s="47"/>
      <c r="L169" s="47"/>
      <c r="M169" s="47">
        <v>96.3</v>
      </c>
      <c r="N169" s="528"/>
      <c r="O169" s="407"/>
      <c r="P169" s="407"/>
      <c r="Q169" s="321">
        <f t="shared" si="9"/>
        <v>96.3</v>
      </c>
      <c r="R169" s="321" t="str">
        <f t="shared" si="7"/>
        <v>NO</v>
      </c>
      <c r="S169" s="321" t="str">
        <f t="shared" si="8"/>
        <v>Inviable Sanitariamente</v>
      </c>
    </row>
    <row r="170" spans="1:20" s="180" customFormat="1" ht="32.1" customHeight="1">
      <c r="A170" s="564" t="s">
        <v>143</v>
      </c>
      <c r="B170" s="565" t="s">
        <v>2751</v>
      </c>
      <c r="C170" s="565" t="s">
        <v>2752</v>
      </c>
      <c r="D170" s="304">
        <v>26</v>
      </c>
      <c r="E170" s="339"/>
      <c r="F170" s="339"/>
      <c r="G170" s="339"/>
      <c r="H170" s="339">
        <v>97.4</v>
      </c>
      <c r="I170" s="339"/>
      <c r="J170" s="339"/>
      <c r="K170" s="339"/>
      <c r="L170" s="339"/>
      <c r="M170" s="339"/>
      <c r="N170" s="339"/>
      <c r="O170" s="339"/>
      <c r="P170" s="339"/>
      <c r="Q170" s="321">
        <f t="shared" si="9"/>
        <v>97.4</v>
      </c>
      <c r="R170" s="321" t="str">
        <f t="shared" si="7"/>
        <v>NO</v>
      </c>
      <c r="S170" s="321" t="str">
        <f t="shared" si="8"/>
        <v>Inviable Sanitariamente</v>
      </c>
    </row>
    <row r="171" spans="1:20" s="180" customFormat="1" ht="32.1" customHeight="1">
      <c r="A171" s="564" t="s">
        <v>143</v>
      </c>
      <c r="B171" s="565" t="s">
        <v>2753</v>
      </c>
      <c r="C171" s="565" t="s">
        <v>2754</v>
      </c>
      <c r="D171" s="304">
        <v>14</v>
      </c>
      <c r="E171" s="339"/>
      <c r="F171" s="339"/>
      <c r="G171" s="339"/>
      <c r="H171" s="339">
        <v>97.4</v>
      </c>
      <c r="I171" s="339"/>
      <c r="J171" s="339"/>
      <c r="K171" s="339"/>
      <c r="L171" s="339"/>
      <c r="M171" s="339"/>
      <c r="N171" s="339"/>
      <c r="O171" s="339"/>
      <c r="P171" s="339"/>
      <c r="Q171" s="321">
        <f t="shared" si="9"/>
        <v>97.4</v>
      </c>
      <c r="R171" s="321" t="str">
        <f t="shared" si="7"/>
        <v>NO</v>
      </c>
      <c r="S171" s="321" t="str">
        <f t="shared" si="8"/>
        <v>Inviable Sanitariamente</v>
      </c>
      <c r="T171" s="183"/>
    </row>
    <row r="172" spans="1:20" s="180" customFormat="1" ht="32.1" customHeight="1">
      <c r="A172" s="564" t="s">
        <v>143</v>
      </c>
      <c r="B172" s="565" t="s">
        <v>2755</v>
      </c>
      <c r="C172" s="565" t="s">
        <v>2756</v>
      </c>
      <c r="D172" s="304">
        <v>15</v>
      </c>
      <c r="E172" s="339"/>
      <c r="F172" s="339"/>
      <c r="G172" s="339">
        <v>97.4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21">
        <f t="shared" si="9"/>
        <v>97.4</v>
      </c>
      <c r="R172" s="321" t="str">
        <f t="shared" si="7"/>
        <v>NO</v>
      </c>
      <c r="S172" s="321" t="str">
        <f t="shared" si="8"/>
        <v>Inviable Sanitariamente</v>
      </c>
      <c r="T172" s="183"/>
    </row>
    <row r="173" spans="1:20" s="180" customFormat="1" ht="32.1" customHeight="1">
      <c r="A173" s="564" t="s">
        <v>143</v>
      </c>
      <c r="B173" s="565" t="s">
        <v>2757</v>
      </c>
      <c r="C173" s="565" t="s">
        <v>2758</v>
      </c>
      <c r="D173" s="304">
        <v>25</v>
      </c>
      <c r="E173" s="339"/>
      <c r="F173" s="339"/>
      <c r="G173" s="339">
        <v>97.4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21">
        <f t="shared" si="9"/>
        <v>97.4</v>
      </c>
      <c r="R173" s="321" t="str">
        <f t="shared" si="7"/>
        <v>NO</v>
      </c>
      <c r="S173" s="321" t="str">
        <f t="shared" si="8"/>
        <v>Inviable Sanitariamente</v>
      </c>
      <c r="T173" s="183"/>
    </row>
    <row r="174" spans="1:20" s="180" customFormat="1" ht="32.1" customHeight="1">
      <c r="A174" s="404" t="s">
        <v>143</v>
      </c>
      <c r="B174" s="302" t="s">
        <v>2017</v>
      </c>
      <c r="C174" s="302" t="s">
        <v>2759</v>
      </c>
      <c r="D174" s="346">
        <v>27</v>
      </c>
      <c r="E174" s="47"/>
      <c r="F174" s="47"/>
      <c r="G174" s="47"/>
      <c r="H174" s="47">
        <v>96.3</v>
      </c>
      <c r="I174" s="47"/>
      <c r="J174" s="528"/>
      <c r="K174" s="407"/>
      <c r="L174" s="407"/>
      <c r="M174" s="407"/>
      <c r="N174" s="407"/>
      <c r="O174" s="407"/>
      <c r="P174" s="407"/>
      <c r="Q174" s="321">
        <f t="shared" si="9"/>
        <v>96.3</v>
      </c>
      <c r="R174" s="321" t="str">
        <f t="shared" si="7"/>
        <v>NO</v>
      </c>
      <c r="S174" s="321" t="str">
        <f t="shared" si="8"/>
        <v>Inviable Sanitariamente</v>
      </c>
      <c r="T174" s="183"/>
    </row>
    <row r="175" spans="1:20" s="180" customFormat="1" ht="32.1" customHeight="1">
      <c r="A175" s="404" t="s">
        <v>143</v>
      </c>
      <c r="B175" s="302" t="s">
        <v>2760</v>
      </c>
      <c r="C175" s="302" t="s">
        <v>2761</v>
      </c>
      <c r="D175" s="346">
        <v>17</v>
      </c>
      <c r="E175" s="47"/>
      <c r="F175" s="47"/>
      <c r="G175" s="47"/>
      <c r="H175" s="47"/>
      <c r="I175" s="47">
        <v>96.3</v>
      </c>
      <c r="J175" s="528"/>
      <c r="K175" s="407"/>
      <c r="L175" s="407"/>
      <c r="M175" s="407"/>
      <c r="N175" s="407"/>
      <c r="O175" s="407"/>
      <c r="P175" s="407"/>
      <c r="Q175" s="321">
        <f t="shared" si="9"/>
        <v>96.3</v>
      </c>
      <c r="R175" s="321" t="str">
        <f t="shared" si="7"/>
        <v>NO</v>
      </c>
      <c r="S175" s="321" t="str">
        <f t="shared" si="8"/>
        <v>Inviable Sanitariamente</v>
      </c>
      <c r="T175" s="183"/>
    </row>
    <row r="176" spans="1:20" s="180" customFormat="1" ht="32.1" customHeight="1">
      <c r="A176" s="404" t="s">
        <v>143</v>
      </c>
      <c r="B176" s="302" t="s">
        <v>4359</v>
      </c>
      <c r="C176" s="302" t="s">
        <v>2762</v>
      </c>
      <c r="D176" s="346">
        <v>10</v>
      </c>
      <c r="E176" s="47"/>
      <c r="F176" s="47"/>
      <c r="G176" s="47"/>
      <c r="H176" s="47"/>
      <c r="I176" s="47"/>
      <c r="J176" s="528"/>
      <c r="K176" s="407">
        <v>96.3</v>
      </c>
      <c r="L176" s="407"/>
      <c r="M176" s="407"/>
      <c r="N176" s="407"/>
      <c r="O176" s="407"/>
      <c r="P176" s="407"/>
      <c r="Q176" s="321">
        <f t="shared" si="9"/>
        <v>96.3</v>
      </c>
      <c r="R176" s="321" t="str">
        <f t="shared" si="7"/>
        <v>NO</v>
      </c>
      <c r="S176" s="321" t="str">
        <f t="shared" si="8"/>
        <v>Inviable Sanitariamente</v>
      </c>
      <c r="T176" s="183"/>
    </row>
    <row r="177" spans="1:20" s="180" customFormat="1" ht="32.1" customHeight="1">
      <c r="A177" s="404" t="s">
        <v>143</v>
      </c>
      <c r="B177" s="302" t="s">
        <v>2662</v>
      </c>
      <c r="C177" s="302" t="s">
        <v>2763</v>
      </c>
      <c r="D177" s="346">
        <v>25</v>
      </c>
      <c r="E177" s="47"/>
      <c r="F177" s="47"/>
      <c r="G177" s="47"/>
      <c r="H177" s="47"/>
      <c r="I177" s="47">
        <v>96.3</v>
      </c>
      <c r="J177" s="528"/>
      <c r="K177" s="407"/>
      <c r="L177" s="407"/>
      <c r="M177" s="407"/>
      <c r="N177" s="407"/>
      <c r="O177" s="407"/>
      <c r="P177" s="407"/>
      <c r="Q177" s="321">
        <f t="shared" si="9"/>
        <v>96.3</v>
      </c>
      <c r="R177" s="321" t="str">
        <f t="shared" si="7"/>
        <v>NO</v>
      </c>
      <c r="S177" s="321" t="str">
        <f t="shared" si="8"/>
        <v>Inviable Sanitariamente</v>
      </c>
      <c r="T177" s="183"/>
    </row>
    <row r="178" spans="1:20" s="180" customFormat="1" ht="32.1" customHeight="1">
      <c r="A178" s="404" t="s">
        <v>143</v>
      </c>
      <c r="B178" s="302" t="s">
        <v>2764</v>
      </c>
      <c r="C178" s="302" t="s">
        <v>2765</v>
      </c>
      <c r="D178" s="346">
        <v>37</v>
      </c>
      <c r="E178" s="47"/>
      <c r="F178" s="47"/>
      <c r="G178" s="47"/>
      <c r="H178" s="47"/>
      <c r="I178" s="47"/>
      <c r="J178" s="528"/>
      <c r="K178" s="407"/>
      <c r="L178" s="407"/>
      <c r="M178" s="407"/>
      <c r="N178" s="407"/>
      <c r="O178" s="407">
        <v>96.3</v>
      </c>
      <c r="P178" s="407"/>
      <c r="Q178" s="321">
        <f t="shared" si="9"/>
        <v>96.3</v>
      </c>
      <c r="R178" s="321" t="str">
        <f t="shared" si="7"/>
        <v>NO</v>
      </c>
      <c r="S178" s="321" t="str">
        <f t="shared" si="8"/>
        <v>Inviable Sanitariamente</v>
      </c>
      <c r="T178" s="183"/>
    </row>
    <row r="179" spans="1:20" s="180" customFormat="1" ht="32.1" customHeight="1">
      <c r="A179" s="404" t="s">
        <v>3766</v>
      </c>
      <c r="B179" s="302" t="s">
        <v>2766</v>
      </c>
      <c r="C179" s="302" t="s">
        <v>2767</v>
      </c>
      <c r="D179" s="346">
        <v>119</v>
      </c>
      <c r="E179" s="47"/>
      <c r="F179" s="47"/>
      <c r="G179" s="47"/>
      <c r="H179" s="47"/>
      <c r="I179" s="47"/>
      <c r="J179" s="528">
        <v>0</v>
      </c>
      <c r="K179" s="47"/>
      <c r="L179" s="407"/>
      <c r="M179" s="47"/>
      <c r="N179" s="407"/>
      <c r="O179" s="47"/>
      <c r="P179" s="47"/>
      <c r="Q179" s="321">
        <f t="shared" si="9"/>
        <v>0</v>
      </c>
      <c r="R179" s="321" t="str">
        <f t="shared" si="7"/>
        <v>SI</v>
      </c>
      <c r="S179" s="321" t="str">
        <f t="shared" si="8"/>
        <v>Sin Riesgo</v>
      </c>
      <c r="T179" s="183"/>
    </row>
    <row r="180" spans="1:20" s="180" customFormat="1" ht="36.75" customHeight="1">
      <c r="A180" s="404" t="s">
        <v>3766</v>
      </c>
      <c r="B180" s="302" t="s">
        <v>2768</v>
      </c>
      <c r="C180" s="302" t="s">
        <v>2769</v>
      </c>
      <c r="D180" s="399">
        <v>64</v>
      </c>
      <c r="E180" s="47"/>
      <c r="F180" s="47"/>
      <c r="G180" s="47"/>
      <c r="H180" s="47"/>
      <c r="I180" s="407">
        <v>97.3</v>
      </c>
      <c r="J180" s="47"/>
      <c r="K180" s="407"/>
      <c r="L180" s="47"/>
      <c r="M180" s="47"/>
      <c r="N180" s="407"/>
      <c r="O180" s="47"/>
      <c r="P180" s="47"/>
      <c r="Q180" s="321">
        <f t="shared" si="9"/>
        <v>97.3</v>
      </c>
      <c r="R180" s="321" t="str">
        <f t="shared" si="7"/>
        <v>NO</v>
      </c>
      <c r="S180" s="321" t="str">
        <f t="shared" si="8"/>
        <v>Inviable Sanitariamente</v>
      </c>
      <c r="T180" s="183"/>
    </row>
    <row r="181" spans="1:20" s="180" customFormat="1" ht="39.950000000000003" customHeight="1">
      <c r="A181" s="404" t="s">
        <v>3766</v>
      </c>
      <c r="B181" s="302" t="s">
        <v>2770</v>
      </c>
      <c r="C181" s="302" t="s">
        <v>2771</v>
      </c>
      <c r="D181" s="346">
        <v>119</v>
      </c>
      <c r="E181" s="47"/>
      <c r="F181" s="47"/>
      <c r="G181" s="47"/>
      <c r="H181" s="407">
        <v>97.3</v>
      </c>
      <c r="I181" s="407"/>
      <c r="J181" s="47"/>
      <c r="K181" s="47"/>
      <c r="L181" s="47"/>
      <c r="M181" s="407"/>
      <c r="N181" s="47"/>
      <c r="O181" s="47"/>
      <c r="P181" s="47"/>
      <c r="Q181" s="321">
        <f t="shared" si="9"/>
        <v>97.3</v>
      </c>
      <c r="R181" s="321" t="str">
        <f t="shared" si="7"/>
        <v>NO</v>
      </c>
      <c r="S181" s="321" t="str">
        <f t="shared" si="8"/>
        <v>Inviable Sanitariamente</v>
      </c>
      <c r="T181" s="183"/>
    </row>
    <row r="182" spans="1:20" s="180" customFormat="1" ht="39.950000000000003" customHeight="1">
      <c r="A182" s="404" t="s">
        <v>3766</v>
      </c>
      <c r="B182" s="302" t="s">
        <v>10</v>
      </c>
      <c r="C182" s="302" t="s">
        <v>2772</v>
      </c>
      <c r="D182" s="346">
        <v>38</v>
      </c>
      <c r="E182" s="47"/>
      <c r="F182" s="47"/>
      <c r="G182" s="407"/>
      <c r="H182" s="47"/>
      <c r="I182" s="47"/>
      <c r="J182" s="47"/>
      <c r="K182" s="47"/>
      <c r="L182" s="47"/>
      <c r="M182" s="47"/>
      <c r="N182" s="407">
        <v>97.3</v>
      </c>
      <c r="O182" s="47"/>
      <c r="P182" s="47"/>
      <c r="Q182" s="321">
        <f t="shared" si="9"/>
        <v>97.3</v>
      </c>
      <c r="R182" s="321" t="str">
        <f t="shared" si="7"/>
        <v>NO</v>
      </c>
      <c r="S182" s="321" t="str">
        <f t="shared" si="8"/>
        <v>Inviable Sanitariamente</v>
      </c>
      <c r="T182" s="183"/>
    </row>
    <row r="183" spans="1:20" s="180" customFormat="1" ht="39.950000000000003" customHeight="1">
      <c r="A183" s="404" t="s">
        <v>3766</v>
      </c>
      <c r="B183" s="302" t="s">
        <v>2773</v>
      </c>
      <c r="C183" s="302" t="s">
        <v>2774</v>
      </c>
      <c r="D183" s="346">
        <v>87</v>
      </c>
      <c r="E183" s="47"/>
      <c r="F183" s="47"/>
      <c r="G183" s="407">
        <v>97.3</v>
      </c>
      <c r="H183" s="47"/>
      <c r="I183" s="47"/>
      <c r="J183" s="47"/>
      <c r="K183" s="47"/>
      <c r="L183" s="47"/>
      <c r="M183" s="407">
        <v>97.3</v>
      </c>
      <c r="N183" s="407"/>
      <c r="O183" s="47"/>
      <c r="P183" s="47"/>
      <c r="Q183" s="321">
        <f t="shared" si="9"/>
        <v>97.3</v>
      </c>
      <c r="R183" s="321" t="str">
        <f t="shared" si="7"/>
        <v>NO</v>
      </c>
      <c r="S183" s="321" t="str">
        <f t="shared" si="8"/>
        <v>Inviable Sanitariamente</v>
      </c>
      <c r="T183" s="183"/>
    </row>
    <row r="184" spans="1:20" s="180" customFormat="1" ht="39.950000000000003" customHeight="1">
      <c r="A184" s="404" t="s">
        <v>3766</v>
      </c>
      <c r="B184" s="302" t="s">
        <v>555</v>
      </c>
      <c r="C184" s="302" t="s">
        <v>2775</v>
      </c>
      <c r="D184" s="346">
        <v>94</v>
      </c>
      <c r="E184" s="47"/>
      <c r="F184" s="407"/>
      <c r="G184" s="47"/>
      <c r="H184" s="47"/>
      <c r="I184" s="47"/>
      <c r="J184" s="47"/>
      <c r="K184" s="47"/>
      <c r="L184" s="47"/>
      <c r="M184" s="47"/>
      <c r="N184" s="47"/>
      <c r="O184" s="407">
        <v>97.3</v>
      </c>
      <c r="P184" s="47"/>
      <c r="Q184" s="321">
        <f t="shared" si="9"/>
        <v>97.3</v>
      </c>
      <c r="R184" s="321" t="str">
        <f t="shared" si="7"/>
        <v>NO</v>
      </c>
      <c r="S184" s="321" t="str">
        <f t="shared" si="8"/>
        <v>Inviable Sanitariamente</v>
      </c>
      <c r="T184" s="183"/>
    </row>
    <row r="185" spans="1:20" s="180" customFormat="1" ht="39.950000000000003" customHeight="1">
      <c r="A185" s="404" t="s">
        <v>3766</v>
      </c>
      <c r="B185" s="302" t="s">
        <v>626</v>
      </c>
      <c r="C185" s="302" t="s">
        <v>2776</v>
      </c>
      <c r="D185" s="399">
        <v>43</v>
      </c>
      <c r="E185" s="47"/>
      <c r="F185" s="407"/>
      <c r="G185" s="407">
        <v>97.3</v>
      </c>
      <c r="H185" s="407"/>
      <c r="I185" s="47"/>
      <c r="J185" s="47"/>
      <c r="K185" s="47"/>
      <c r="L185" s="407"/>
      <c r="M185" s="47"/>
      <c r="N185" s="47"/>
      <c r="O185" s="361"/>
      <c r="P185" s="47"/>
      <c r="Q185" s="321">
        <f t="shared" si="9"/>
        <v>97.3</v>
      </c>
      <c r="R185" s="321" t="str">
        <f t="shared" si="7"/>
        <v>NO</v>
      </c>
      <c r="S185" s="321" t="str">
        <f t="shared" si="8"/>
        <v>Inviable Sanitariamente</v>
      </c>
      <c r="T185" s="183"/>
    </row>
    <row r="186" spans="1:20" s="180" customFormat="1" ht="39.950000000000003" customHeight="1">
      <c r="A186" s="404" t="s">
        <v>3766</v>
      </c>
      <c r="B186" s="302" t="s">
        <v>2777</v>
      </c>
      <c r="C186" s="302" t="s">
        <v>2778</v>
      </c>
      <c r="D186" s="346">
        <v>23</v>
      </c>
      <c r="E186" s="47"/>
      <c r="F186" s="47"/>
      <c r="G186" s="47"/>
      <c r="H186" s="407">
        <v>97.3</v>
      </c>
      <c r="I186" s="47"/>
      <c r="J186" s="47"/>
      <c r="K186" s="47"/>
      <c r="L186" s="407"/>
      <c r="M186" s="47"/>
      <c r="N186" s="407">
        <v>97.3</v>
      </c>
      <c r="O186" s="47"/>
      <c r="P186" s="47"/>
      <c r="Q186" s="321">
        <f t="shared" si="9"/>
        <v>97.3</v>
      </c>
      <c r="R186" s="321" t="str">
        <f t="shared" si="7"/>
        <v>NO</v>
      </c>
      <c r="S186" s="321" t="str">
        <f t="shared" si="8"/>
        <v>Inviable Sanitariamente</v>
      </c>
      <c r="T186" s="183"/>
    </row>
    <row r="187" spans="1:20" s="180" customFormat="1" ht="39.950000000000003" customHeight="1">
      <c r="A187" s="404" t="s">
        <v>3766</v>
      </c>
      <c r="B187" s="302" t="s">
        <v>2779</v>
      </c>
      <c r="C187" s="302" t="s">
        <v>2780</v>
      </c>
      <c r="D187" s="346">
        <v>62</v>
      </c>
      <c r="E187" s="47"/>
      <c r="F187" s="47"/>
      <c r="G187" s="47"/>
      <c r="H187" s="47"/>
      <c r="I187" s="407"/>
      <c r="J187" s="47"/>
      <c r="K187" s="407"/>
      <c r="L187" s="47"/>
      <c r="M187" s="47"/>
      <c r="N187" s="47"/>
      <c r="O187" s="407">
        <v>97.3</v>
      </c>
      <c r="P187" s="47"/>
      <c r="Q187" s="321">
        <f t="shared" si="9"/>
        <v>97.3</v>
      </c>
      <c r="R187" s="321" t="str">
        <f t="shared" si="7"/>
        <v>NO</v>
      </c>
      <c r="S187" s="321" t="str">
        <f t="shared" si="8"/>
        <v>Inviable Sanitariamente</v>
      </c>
      <c r="T187" s="183"/>
    </row>
    <row r="188" spans="1:20" s="180" customFormat="1" ht="39.950000000000003" customHeight="1">
      <c r="A188" s="404" t="s">
        <v>3766</v>
      </c>
      <c r="B188" s="302" t="s">
        <v>2781</v>
      </c>
      <c r="C188" s="302" t="s">
        <v>2782</v>
      </c>
      <c r="D188" s="399">
        <v>90</v>
      </c>
      <c r="E188" s="422"/>
      <c r="F188" s="422"/>
      <c r="G188" s="422"/>
      <c r="H188" s="421"/>
      <c r="I188" s="421"/>
      <c r="J188" s="422"/>
      <c r="K188" s="422"/>
      <c r="L188" s="422"/>
      <c r="M188" s="421">
        <v>97.3</v>
      </c>
      <c r="N188" s="421"/>
      <c r="O188" s="422"/>
      <c r="P188" s="422"/>
      <c r="Q188" s="321">
        <f t="shared" si="9"/>
        <v>97.3</v>
      </c>
      <c r="R188" s="321" t="str">
        <f t="shared" si="7"/>
        <v>NO</v>
      </c>
      <c r="S188" s="321" t="str">
        <f t="shared" si="8"/>
        <v>Inviable Sanitariamente</v>
      </c>
      <c r="T188" s="183"/>
    </row>
    <row r="189" spans="1:20" s="180" customFormat="1" ht="39.950000000000003" customHeight="1">
      <c r="A189" s="404" t="s">
        <v>3766</v>
      </c>
      <c r="B189" s="302" t="s">
        <v>1427</v>
      </c>
      <c r="C189" s="302" t="s">
        <v>2783</v>
      </c>
      <c r="D189" s="346">
        <v>106</v>
      </c>
      <c r="E189" s="47"/>
      <c r="F189" s="47"/>
      <c r="G189" s="47"/>
      <c r="H189" s="47"/>
      <c r="I189" s="47"/>
      <c r="J189" s="47"/>
      <c r="K189" s="407"/>
      <c r="L189" s="47"/>
      <c r="M189" s="407">
        <v>97.3</v>
      </c>
      <c r="N189" s="407"/>
      <c r="O189" s="47"/>
      <c r="P189" s="47"/>
      <c r="Q189" s="321">
        <f t="shared" si="9"/>
        <v>97.3</v>
      </c>
      <c r="R189" s="321" t="str">
        <f t="shared" si="7"/>
        <v>NO</v>
      </c>
      <c r="S189" s="321" t="str">
        <f t="shared" si="8"/>
        <v>Inviable Sanitariamente</v>
      </c>
      <c r="T189" s="183"/>
    </row>
    <row r="190" spans="1:20" s="180" customFormat="1" ht="39.950000000000003" customHeight="1">
      <c r="A190" s="404" t="s">
        <v>3766</v>
      </c>
      <c r="B190" s="302" t="s">
        <v>2784</v>
      </c>
      <c r="C190" s="302" t="s">
        <v>2785</v>
      </c>
      <c r="D190" s="346">
        <v>54</v>
      </c>
      <c r="E190" s="47"/>
      <c r="F190" s="407"/>
      <c r="G190" s="47"/>
      <c r="H190" s="47"/>
      <c r="I190" s="47"/>
      <c r="J190" s="407">
        <v>97.3</v>
      </c>
      <c r="K190" s="47"/>
      <c r="L190" s="47"/>
      <c r="M190" s="47"/>
      <c r="N190" s="47"/>
      <c r="O190" s="47"/>
      <c r="P190" s="47"/>
      <c r="Q190" s="321">
        <f t="shared" si="9"/>
        <v>97.3</v>
      </c>
      <c r="R190" s="321" t="str">
        <f t="shared" ref="R190:R248" si="10">IF(Q190&lt;5,"SI","NO")</f>
        <v>NO</v>
      </c>
      <c r="S190" s="321" t="str">
        <f t="shared" si="8"/>
        <v>Inviable Sanitariamente</v>
      </c>
      <c r="T190" s="183"/>
    </row>
    <row r="191" spans="1:20" s="180" customFormat="1" ht="39.950000000000003" customHeight="1">
      <c r="A191" s="404" t="s">
        <v>3766</v>
      </c>
      <c r="B191" s="302" t="s">
        <v>2786</v>
      </c>
      <c r="C191" s="302" t="s">
        <v>2787</v>
      </c>
      <c r="D191" s="346">
        <v>31</v>
      </c>
      <c r="E191" s="47"/>
      <c r="F191" s="407"/>
      <c r="G191" s="47"/>
      <c r="H191" s="47"/>
      <c r="I191" s="47"/>
      <c r="J191" s="47"/>
      <c r="K191" s="47"/>
      <c r="L191" s="407">
        <v>97.3</v>
      </c>
      <c r="M191" s="47"/>
      <c r="N191" s="47"/>
      <c r="O191" s="407"/>
      <c r="P191" s="47"/>
      <c r="Q191" s="321">
        <f t="shared" si="9"/>
        <v>97.3</v>
      </c>
      <c r="R191" s="321" t="str">
        <f t="shared" si="10"/>
        <v>NO</v>
      </c>
      <c r="S191" s="321" t="str">
        <f t="shared" ref="S191:S251" si="11">IF(Q191&lt;=5,"Sin Riesgo",IF(Q191 &lt;=14,"Bajo",IF(Q191&lt;=35,"Medio",IF(Q191&lt;=80,"Alto","Inviable Sanitariamente"))))</f>
        <v>Inviable Sanitariamente</v>
      </c>
      <c r="T191" s="183"/>
    </row>
    <row r="192" spans="1:20" s="180" customFormat="1" ht="39.950000000000003" customHeight="1">
      <c r="A192" s="404" t="s">
        <v>3766</v>
      </c>
      <c r="B192" s="302" t="s">
        <v>2079</v>
      </c>
      <c r="C192" s="302" t="s">
        <v>2788</v>
      </c>
      <c r="D192" s="346">
        <v>52</v>
      </c>
      <c r="E192" s="47"/>
      <c r="F192" s="47"/>
      <c r="G192" s="432"/>
      <c r="H192" s="407">
        <v>97.3</v>
      </c>
      <c r="I192" s="47"/>
      <c r="J192" s="47"/>
      <c r="K192" s="47"/>
      <c r="L192" s="407">
        <v>97.3</v>
      </c>
      <c r="M192" s="407"/>
      <c r="N192" s="407"/>
      <c r="O192" s="47"/>
      <c r="P192" s="47"/>
      <c r="Q192" s="321">
        <f t="shared" si="9"/>
        <v>97.3</v>
      </c>
      <c r="R192" s="321" t="str">
        <f t="shared" si="10"/>
        <v>NO</v>
      </c>
      <c r="S192" s="321" t="str">
        <f t="shared" si="11"/>
        <v>Inviable Sanitariamente</v>
      </c>
      <c r="T192" s="183"/>
    </row>
    <row r="193" spans="1:20" s="180" customFormat="1" ht="39.950000000000003" customHeight="1">
      <c r="A193" s="564" t="s">
        <v>3766</v>
      </c>
      <c r="B193" s="565" t="s">
        <v>2789</v>
      </c>
      <c r="C193" s="565" t="s">
        <v>2790</v>
      </c>
      <c r="D193" s="304">
        <v>23</v>
      </c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21"/>
      <c r="R193" s="321"/>
      <c r="S193" s="321"/>
      <c r="T193" s="183"/>
    </row>
    <row r="194" spans="1:20" s="180" customFormat="1" ht="32.1" customHeight="1">
      <c r="A194" s="404" t="s">
        <v>3766</v>
      </c>
      <c r="B194" s="302" t="s">
        <v>1194</v>
      </c>
      <c r="C194" s="302" t="s">
        <v>2791</v>
      </c>
      <c r="D194" s="346">
        <v>27</v>
      </c>
      <c r="E194" s="47"/>
      <c r="F194" s="47"/>
      <c r="G194" s="47"/>
      <c r="H194" s="407"/>
      <c r="I194" s="407"/>
      <c r="J194" s="407"/>
      <c r="K194" s="47"/>
      <c r="L194" s="47"/>
      <c r="M194" s="47"/>
      <c r="N194" s="47"/>
      <c r="O194" s="407">
        <v>97.3</v>
      </c>
      <c r="P194" s="47"/>
      <c r="Q194" s="321">
        <f t="shared" si="9"/>
        <v>97.3</v>
      </c>
      <c r="R194" s="321" t="str">
        <f t="shared" si="10"/>
        <v>NO</v>
      </c>
      <c r="S194" s="321" t="str">
        <f t="shared" si="11"/>
        <v>Inviable Sanitariamente</v>
      </c>
      <c r="T194" s="183"/>
    </row>
    <row r="195" spans="1:20" s="180" customFormat="1" ht="32.1" customHeight="1">
      <c r="A195" s="404" t="s">
        <v>3766</v>
      </c>
      <c r="B195" s="302" t="s">
        <v>2792</v>
      </c>
      <c r="C195" s="302" t="s">
        <v>2793</v>
      </c>
      <c r="D195" s="346">
        <v>92</v>
      </c>
      <c r="E195" s="47"/>
      <c r="F195" s="47"/>
      <c r="G195" s="407">
        <v>0</v>
      </c>
      <c r="H195" s="47"/>
      <c r="I195" s="47"/>
      <c r="J195" s="47"/>
      <c r="K195" s="47"/>
      <c r="L195" s="47"/>
      <c r="M195" s="407"/>
      <c r="N195" s="407"/>
      <c r="O195" s="47"/>
      <c r="P195" s="47"/>
      <c r="Q195" s="321">
        <f t="shared" si="9"/>
        <v>0</v>
      </c>
      <c r="R195" s="321" t="str">
        <f t="shared" si="10"/>
        <v>SI</v>
      </c>
      <c r="S195" s="321" t="str">
        <f t="shared" si="11"/>
        <v>Sin Riesgo</v>
      </c>
      <c r="T195" s="183"/>
    </row>
    <row r="196" spans="1:20" s="180" customFormat="1" ht="32.1" customHeight="1">
      <c r="A196" s="404" t="s">
        <v>3766</v>
      </c>
      <c r="B196" s="302" t="s">
        <v>2794</v>
      </c>
      <c r="C196" s="302" t="s">
        <v>2795</v>
      </c>
      <c r="D196" s="346">
        <v>80</v>
      </c>
      <c r="E196" s="47"/>
      <c r="F196" s="47"/>
      <c r="G196" s="47"/>
      <c r="H196" s="47"/>
      <c r="I196" s="47"/>
      <c r="J196" s="407"/>
      <c r="K196" s="47"/>
      <c r="L196" s="47"/>
      <c r="M196" s="47"/>
      <c r="N196" s="407">
        <v>97.3</v>
      </c>
      <c r="O196" s="47"/>
      <c r="P196" s="47"/>
      <c r="Q196" s="314">
        <f>AVERAGE(E196:P196)</f>
        <v>97.3</v>
      </c>
      <c r="R196" s="321" t="str">
        <f t="shared" si="10"/>
        <v>NO</v>
      </c>
      <c r="S196" s="321" t="str">
        <f t="shared" si="11"/>
        <v>Inviable Sanitariamente</v>
      </c>
      <c r="T196" s="183"/>
    </row>
    <row r="197" spans="1:20" s="180" customFormat="1" ht="32.1" customHeight="1">
      <c r="A197" s="404" t="s">
        <v>3766</v>
      </c>
      <c r="B197" s="302" t="s">
        <v>2001</v>
      </c>
      <c r="C197" s="302" t="s">
        <v>2796</v>
      </c>
      <c r="D197" s="346">
        <v>35</v>
      </c>
      <c r="E197" s="47"/>
      <c r="F197" s="47"/>
      <c r="G197" s="47"/>
      <c r="H197" s="407"/>
      <c r="I197" s="407"/>
      <c r="J197" s="47"/>
      <c r="K197" s="47"/>
      <c r="L197" s="407">
        <v>97.3</v>
      </c>
      <c r="M197" s="407"/>
      <c r="N197" s="47"/>
      <c r="O197" s="47"/>
      <c r="P197" s="47"/>
      <c r="Q197" s="321">
        <f t="shared" si="9"/>
        <v>97.3</v>
      </c>
      <c r="R197" s="321" t="str">
        <f t="shared" si="10"/>
        <v>NO</v>
      </c>
      <c r="S197" s="321" t="str">
        <f t="shared" si="11"/>
        <v>Inviable Sanitariamente</v>
      </c>
      <c r="T197" s="183"/>
    </row>
    <row r="198" spans="1:20" s="180" customFormat="1" ht="32.1" customHeight="1">
      <c r="A198" s="404" t="s">
        <v>3766</v>
      </c>
      <c r="B198" s="302" t="s">
        <v>2797</v>
      </c>
      <c r="C198" s="302" t="s">
        <v>2798</v>
      </c>
      <c r="D198" s="346">
        <v>19</v>
      </c>
      <c r="E198" s="47"/>
      <c r="F198" s="47"/>
      <c r="G198" s="407">
        <v>0</v>
      </c>
      <c r="H198" s="47"/>
      <c r="I198" s="407"/>
      <c r="J198" s="47"/>
      <c r="K198" s="47"/>
      <c r="L198" s="407"/>
      <c r="M198" s="47"/>
      <c r="N198" s="47"/>
      <c r="O198" s="47"/>
      <c r="P198" s="47"/>
      <c r="Q198" s="321">
        <f t="shared" si="9"/>
        <v>0</v>
      </c>
      <c r="R198" s="321" t="str">
        <f t="shared" si="10"/>
        <v>SI</v>
      </c>
      <c r="S198" s="321" t="str">
        <f t="shared" si="11"/>
        <v>Sin Riesgo</v>
      </c>
      <c r="T198" s="183"/>
    </row>
    <row r="199" spans="1:20" s="180" customFormat="1" ht="32.1" customHeight="1">
      <c r="A199" s="404" t="s">
        <v>3766</v>
      </c>
      <c r="B199" s="302" t="s">
        <v>949</v>
      </c>
      <c r="C199" s="302" t="s">
        <v>2799</v>
      </c>
      <c r="D199" s="346">
        <v>84</v>
      </c>
      <c r="E199" s="47"/>
      <c r="F199" s="47"/>
      <c r="G199" s="47"/>
      <c r="H199" s="47"/>
      <c r="I199" s="407"/>
      <c r="J199" s="47"/>
      <c r="K199" s="47"/>
      <c r="L199" s="47"/>
      <c r="M199" s="407"/>
      <c r="N199" s="47"/>
      <c r="O199" s="407">
        <v>97.3</v>
      </c>
      <c r="P199" s="47"/>
      <c r="Q199" s="321">
        <f t="shared" si="9"/>
        <v>97.3</v>
      </c>
      <c r="R199" s="321" t="str">
        <f t="shared" si="10"/>
        <v>NO</v>
      </c>
      <c r="S199" s="321" t="str">
        <f t="shared" si="11"/>
        <v>Inviable Sanitariamente</v>
      </c>
      <c r="T199" s="183"/>
    </row>
    <row r="200" spans="1:20" s="180" customFormat="1" ht="32.1" customHeight="1">
      <c r="A200" s="404" t="s">
        <v>3766</v>
      </c>
      <c r="B200" s="302" t="s">
        <v>2800</v>
      </c>
      <c r="C200" s="302" t="s">
        <v>2801</v>
      </c>
      <c r="D200" s="346">
        <v>60</v>
      </c>
      <c r="E200" s="47"/>
      <c r="F200" s="47"/>
      <c r="G200" s="407"/>
      <c r="H200" s="47"/>
      <c r="I200" s="407">
        <v>97.3</v>
      </c>
      <c r="J200" s="47"/>
      <c r="K200" s="47"/>
      <c r="L200" s="47"/>
      <c r="M200" s="47"/>
      <c r="N200" s="47"/>
      <c r="O200" s="47"/>
      <c r="P200" s="47"/>
      <c r="Q200" s="321">
        <f t="shared" si="9"/>
        <v>97.3</v>
      </c>
      <c r="R200" s="321" t="str">
        <f t="shared" si="10"/>
        <v>NO</v>
      </c>
      <c r="S200" s="321" t="str">
        <f t="shared" si="11"/>
        <v>Inviable Sanitariamente</v>
      </c>
      <c r="T200" s="183"/>
    </row>
    <row r="201" spans="1:20" s="180" customFormat="1" ht="32.1" customHeight="1">
      <c r="A201" s="404" t="s">
        <v>3766</v>
      </c>
      <c r="B201" s="302" t="s">
        <v>2802</v>
      </c>
      <c r="C201" s="302" t="s">
        <v>2803</v>
      </c>
      <c r="D201" s="346">
        <v>156</v>
      </c>
      <c r="E201" s="47"/>
      <c r="F201" s="407"/>
      <c r="G201" s="47"/>
      <c r="H201" s="47"/>
      <c r="I201" s="47"/>
      <c r="J201" s="47"/>
      <c r="K201" s="47"/>
      <c r="L201" s="47"/>
      <c r="M201" s="407"/>
      <c r="N201" s="47"/>
      <c r="O201" s="407">
        <v>97.3</v>
      </c>
      <c r="P201" s="47"/>
      <c r="Q201" s="321">
        <f t="shared" si="9"/>
        <v>97.3</v>
      </c>
      <c r="R201" s="321" t="str">
        <f t="shared" si="10"/>
        <v>NO</v>
      </c>
      <c r="S201" s="321" t="str">
        <f t="shared" si="11"/>
        <v>Inviable Sanitariamente</v>
      </c>
      <c r="T201" s="183"/>
    </row>
    <row r="202" spans="1:20" s="180" customFormat="1" ht="32.1" customHeight="1">
      <c r="A202" s="404" t="s">
        <v>3766</v>
      </c>
      <c r="B202" s="302" t="s">
        <v>2804</v>
      </c>
      <c r="C202" s="302" t="s">
        <v>2805</v>
      </c>
      <c r="D202" s="346">
        <v>82</v>
      </c>
      <c r="E202" s="47"/>
      <c r="F202" s="47"/>
      <c r="G202" s="47"/>
      <c r="H202" s="47"/>
      <c r="I202" s="47"/>
      <c r="J202" s="47"/>
      <c r="K202" s="47"/>
      <c r="L202" s="407">
        <v>97.3</v>
      </c>
      <c r="M202" s="47"/>
      <c r="N202" s="407"/>
      <c r="O202" s="47"/>
      <c r="P202" s="47"/>
      <c r="Q202" s="321">
        <f t="shared" si="9"/>
        <v>97.3</v>
      </c>
      <c r="R202" s="321" t="str">
        <f t="shared" si="10"/>
        <v>NO</v>
      </c>
      <c r="S202" s="321" t="str">
        <f t="shared" si="11"/>
        <v>Inviable Sanitariamente</v>
      </c>
      <c r="T202" s="183"/>
    </row>
    <row r="203" spans="1:20" s="180" customFormat="1" ht="32.1" customHeight="1">
      <c r="A203" s="404" t="s">
        <v>3766</v>
      </c>
      <c r="B203" s="302" t="s">
        <v>2806</v>
      </c>
      <c r="C203" s="302" t="s">
        <v>2807</v>
      </c>
      <c r="D203" s="346">
        <v>108</v>
      </c>
      <c r="E203" s="47"/>
      <c r="F203" s="407">
        <v>97.3</v>
      </c>
      <c r="G203" s="47"/>
      <c r="H203" s="407"/>
      <c r="I203" s="47"/>
      <c r="J203" s="407"/>
      <c r="K203" s="47"/>
      <c r="L203" s="407"/>
      <c r="M203" s="47"/>
      <c r="N203" s="407">
        <v>97.3</v>
      </c>
      <c r="O203" s="47"/>
      <c r="P203" s="47"/>
      <c r="Q203" s="321">
        <f t="shared" si="9"/>
        <v>97.3</v>
      </c>
      <c r="R203" s="321" t="str">
        <f t="shared" si="10"/>
        <v>NO</v>
      </c>
      <c r="S203" s="321" t="str">
        <f t="shared" si="11"/>
        <v>Inviable Sanitariamente</v>
      </c>
      <c r="T203" s="183"/>
    </row>
    <row r="204" spans="1:20" s="180" customFormat="1" ht="32.1" customHeight="1">
      <c r="A204" s="404" t="s">
        <v>3766</v>
      </c>
      <c r="B204" s="302" t="s">
        <v>2808</v>
      </c>
      <c r="C204" s="302" t="s">
        <v>2809</v>
      </c>
      <c r="D204" s="346">
        <v>22</v>
      </c>
      <c r="E204" s="47"/>
      <c r="F204" s="47"/>
      <c r="G204" s="47"/>
      <c r="H204" s="407"/>
      <c r="I204" s="47"/>
      <c r="J204" s="407"/>
      <c r="K204" s="47"/>
      <c r="L204" s="407">
        <v>97.3</v>
      </c>
      <c r="M204" s="47"/>
      <c r="N204" s="47"/>
      <c r="O204" s="47"/>
      <c r="P204" s="47"/>
      <c r="Q204" s="321">
        <f t="shared" si="9"/>
        <v>97.3</v>
      </c>
      <c r="R204" s="321" t="str">
        <f t="shared" si="10"/>
        <v>NO</v>
      </c>
      <c r="S204" s="321" t="str">
        <f t="shared" si="11"/>
        <v>Inviable Sanitariamente</v>
      </c>
      <c r="T204" s="183"/>
    </row>
    <row r="205" spans="1:20" s="180" customFormat="1" ht="32.1" customHeight="1">
      <c r="A205" s="404" t="s">
        <v>3766</v>
      </c>
      <c r="B205" s="302" t="s">
        <v>2810</v>
      </c>
      <c r="C205" s="302" t="s">
        <v>2811</v>
      </c>
      <c r="D205" s="346">
        <v>98</v>
      </c>
      <c r="E205" s="47"/>
      <c r="F205" s="47"/>
      <c r="G205" s="47"/>
      <c r="H205" s="47"/>
      <c r="I205" s="407"/>
      <c r="J205" s="47"/>
      <c r="K205" s="407"/>
      <c r="L205" s="47"/>
      <c r="M205" s="47"/>
      <c r="N205" s="407">
        <v>97.3</v>
      </c>
      <c r="O205" s="47"/>
      <c r="P205" s="47"/>
      <c r="Q205" s="321">
        <f t="shared" si="9"/>
        <v>97.3</v>
      </c>
      <c r="R205" s="321" t="str">
        <f t="shared" si="10"/>
        <v>NO</v>
      </c>
      <c r="S205" s="321" t="str">
        <f t="shared" si="11"/>
        <v>Inviable Sanitariamente</v>
      </c>
      <c r="T205" s="183"/>
    </row>
    <row r="206" spans="1:20" s="180" customFormat="1" ht="32.1" customHeight="1">
      <c r="A206" s="562" t="s">
        <v>3766</v>
      </c>
      <c r="B206" s="563" t="s">
        <v>2812</v>
      </c>
      <c r="C206" s="563" t="s">
        <v>2813</v>
      </c>
      <c r="D206" s="304">
        <v>197</v>
      </c>
      <c r="E206" s="339"/>
      <c r="F206" s="339"/>
      <c r="G206" s="339"/>
      <c r="H206" s="339">
        <v>97.6</v>
      </c>
      <c r="I206" s="339"/>
      <c r="J206" s="339"/>
      <c r="K206" s="339"/>
      <c r="L206" s="339"/>
      <c r="M206" s="339"/>
      <c r="N206" s="339"/>
      <c r="O206" s="339"/>
      <c r="P206" s="339"/>
      <c r="Q206" s="321">
        <f t="shared" si="9"/>
        <v>97.6</v>
      </c>
      <c r="R206" s="321" t="str">
        <f t="shared" si="10"/>
        <v>NO</v>
      </c>
      <c r="S206" s="321" t="str">
        <f t="shared" si="11"/>
        <v>Inviable Sanitariamente</v>
      </c>
      <c r="T206" s="183"/>
    </row>
    <row r="207" spans="1:20" s="180" customFormat="1" ht="32.1" customHeight="1">
      <c r="A207" s="564" t="s">
        <v>3766</v>
      </c>
      <c r="B207" s="563" t="s">
        <v>2814</v>
      </c>
      <c r="C207" s="563" t="s">
        <v>2815</v>
      </c>
      <c r="D207" s="346">
        <v>201</v>
      </c>
      <c r="E207" s="47"/>
      <c r="F207" s="47"/>
      <c r="G207" s="47"/>
      <c r="H207" s="47"/>
      <c r="I207" s="407">
        <v>97.3</v>
      </c>
      <c r="J207" s="47"/>
      <c r="K207" s="47"/>
      <c r="L207" s="47"/>
      <c r="M207" s="47"/>
      <c r="N207" s="407"/>
      <c r="O207" s="47"/>
      <c r="P207" s="47"/>
      <c r="Q207" s="321">
        <f t="shared" si="9"/>
        <v>97.3</v>
      </c>
      <c r="R207" s="321" t="str">
        <f t="shared" si="10"/>
        <v>NO</v>
      </c>
      <c r="S207" s="321" t="str">
        <f t="shared" si="11"/>
        <v>Inviable Sanitariamente</v>
      </c>
      <c r="T207" s="183"/>
    </row>
    <row r="208" spans="1:20" s="180" customFormat="1" ht="32.1" customHeight="1">
      <c r="A208" s="564" t="s">
        <v>3766</v>
      </c>
      <c r="B208" s="563" t="s">
        <v>2816</v>
      </c>
      <c r="C208" s="563" t="s">
        <v>2817</v>
      </c>
      <c r="D208" s="346">
        <v>48</v>
      </c>
      <c r="E208" s="47"/>
      <c r="F208" s="47"/>
      <c r="G208" s="407">
        <v>97.3</v>
      </c>
      <c r="H208" s="407"/>
      <c r="I208" s="47"/>
      <c r="J208" s="413"/>
      <c r="K208" s="47"/>
      <c r="L208" s="407"/>
      <c r="M208" s="47"/>
      <c r="N208" s="47"/>
      <c r="O208" s="47"/>
      <c r="P208" s="47"/>
      <c r="Q208" s="321">
        <f t="shared" si="9"/>
        <v>97.3</v>
      </c>
      <c r="R208" s="321" t="str">
        <f t="shared" si="10"/>
        <v>NO</v>
      </c>
      <c r="S208" s="321" t="str">
        <f t="shared" si="11"/>
        <v>Inviable Sanitariamente</v>
      </c>
      <c r="T208" s="183"/>
    </row>
    <row r="209" spans="1:20" s="180" customFormat="1" ht="32.1" customHeight="1">
      <c r="A209" s="564" t="s">
        <v>3766</v>
      </c>
      <c r="B209" s="563" t="s">
        <v>2818</v>
      </c>
      <c r="C209" s="563" t="s">
        <v>2819</v>
      </c>
      <c r="D209" s="346">
        <v>52</v>
      </c>
      <c r="E209" s="47"/>
      <c r="F209" s="407"/>
      <c r="G209" s="407">
        <v>97.3</v>
      </c>
      <c r="H209" s="47"/>
      <c r="I209" s="47"/>
      <c r="J209" s="47"/>
      <c r="K209" s="47"/>
      <c r="L209" s="407">
        <v>97.3</v>
      </c>
      <c r="M209" s="47"/>
      <c r="N209" s="47"/>
      <c r="O209" s="47"/>
      <c r="P209" s="47"/>
      <c r="Q209" s="321">
        <f t="shared" si="9"/>
        <v>97.3</v>
      </c>
      <c r="R209" s="321" t="str">
        <f t="shared" si="10"/>
        <v>NO</v>
      </c>
      <c r="S209" s="321" t="str">
        <f t="shared" si="11"/>
        <v>Inviable Sanitariamente</v>
      </c>
      <c r="T209" s="183"/>
    </row>
    <row r="210" spans="1:20" s="180" customFormat="1" ht="32.1" customHeight="1">
      <c r="A210" s="564" t="s">
        <v>3766</v>
      </c>
      <c r="B210" s="563" t="s">
        <v>2820</v>
      </c>
      <c r="C210" s="563" t="s">
        <v>2821</v>
      </c>
      <c r="D210" s="346">
        <v>118</v>
      </c>
      <c r="E210" s="47"/>
      <c r="F210" s="407">
        <v>97.3</v>
      </c>
      <c r="G210" s="47"/>
      <c r="H210" s="407"/>
      <c r="I210" s="47"/>
      <c r="J210" s="47"/>
      <c r="K210" s="47"/>
      <c r="L210" s="47"/>
      <c r="M210" s="47"/>
      <c r="N210" s="47"/>
      <c r="O210" s="47"/>
      <c r="P210" s="47"/>
      <c r="Q210" s="321">
        <f t="shared" si="9"/>
        <v>97.3</v>
      </c>
      <c r="R210" s="321" t="str">
        <f t="shared" si="10"/>
        <v>NO</v>
      </c>
      <c r="S210" s="321" t="str">
        <f t="shared" si="11"/>
        <v>Inviable Sanitariamente</v>
      </c>
      <c r="T210" s="183"/>
    </row>
    <row r="211" spans="1:20" s="180" customFormat="1" ht="32.1" customHeight="1">
      <c r="A211" s="564" t="s">
        <v>145</v>
      </c>
      <c r="B211" s="563" t="s">
        <v>2822</v>
      </c>
      <c r="C211" s="563" t="s">
        <v>2823</v>
      </c>
      <c r="D211" s="346">
        <v>100</v>
      </c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>
        <v>97.3</v>
      </c>
      <c r="P211" s="47"/>
      <c r="Q211" s="321">
        <f t="shared" si="9"/>
        <v>97.3</v>
      </c>
      <c r="R211" s="321" t="str">
        <f t="shared" si="10"/>
        <v>NO</v>
      </c>
      <c r="S211" s="321" t="str">
        <f t="shared" si="11"/>
        <v>Inviable Sanitariamente</v>
      </c>
      <c r="T211" s="183"/>
    </row>
    <row r="212" spans="1:20" s="180" customFormat="1" ht="32.1" customHeight="1">
      <c r="A212" s="562" t="s">
        <v>145</v>
      </c>
      <c r="B212" s="563" t="s">
        <v>2824</v>
      </c>
      <c r="C212" s="563" t="s">
        <v>2825</v>
      </c>
      <c r="D212" s="304">
        <v>28</v>
      </c>
      <c r="E212" s="339"/>
      <c r="F212" s="339"/>
      <c r="G212" s="339"/>
      <c r="H212" s="339"/>
      <c r="I212" s="339"/>
      <c r="J212" s="339"/>
      <c r="K212" s="339">
        <v>53.1</v>
      </c>
      <c r="L212" s="339"/>
      <c r="M212" s="339"/>
      <c r="N212" s="339"/>
      <c r="O212" s="339"/>
      <c r="P212" s="339"/>
      <c r="Q212" s="321">
        <f t="shared" si="9"/>
        <v>53.1</v>
      </c>
      <c r="R212" s="321" t="str">
        <f t="shared" si="10"/>
        <v>NO</v>
      </c>
      <c r="S212" s="321" t="str">
        <f t="shared" si="11"/>
        <v>Alto</v>
      </c>
      <c r="T212" s="183"/>
    </row>
    <row r="213" spans="1:20" s="180" customFormat="1" ht="32.1" customHeight="1">
      <c r="A213" s="562" t="s">
        <v>145</v>
      </c>
      <c r="B213" s="563" t="s">
        <v>2826</v>
      </c>
      <c r="C213" s="563" t="s">
        <v>2827</v>
      </c>
      <c r="D213" s="304">
        <v>7</v>
      </c>
      <c r="E213" s="339"/>
      <c r="F213" s="339"/>
      <c r="G213" s="339"/>
      <c r="H213" s="339"/>
      <c r="I213" s="339"/>
      <c r="J213" s="339">
        <v>53.1</v>
      </c>
      <c r="K213" s="339"/>
      <c r="L213" s="339"/>
      <c r="M213" s="339"/>
      <c r="N213" s="339"/>
      <c r="O213" s="339"/>
      <c r="P213" s="339"/>
      <c r="Q213" s="321">
        <f t="shared" si="9"/>
        <v>53.1</v>
      </c>
      <c r="R213" s="321" t="str">
        <f t="shared" si="10"/>
        <v>NO</v>
      </c>
      <c r="S213" s="321" t="str">
        <f t="shared" si="11"/>
        <v>Alto</v>
      </c>
      <c r="T213" s="183"/>
    </row>
    <row r="214" spans="1:20" s="180" customFormat="1" ht="32.1" customHeight="1">
      <c r="A214" s="562" t="s">
        <v>145</v>
      </c>
      <c r="B214" s="563" t="s">
        <v>2828</v>
      </c>
      <c r="C214" s="563" t="s">
        <v>2829</v>
      </c>
      <c r="D214" s="304">
        <v>6</v>
      </c>
      <c r="E214" s="339"/>
      <c r="F214" s="339"/>
      <c r="G214" s="339"/>
      <c r="H214" s="339"/>
      <c r="I214" s="339"/>
      <c r="J214" s="339">
        <v>53.1</v>
      </c>
      <c r="K214" s="339"/>
      <c r="L214" s="339"/>
      <c r="M214" s="339"/>
      <c r="N214" s="339"/>
      <c r="O214" s="339"/>
      <c r="P214" s="339"/>
      <c r="Q214" s="321">
        <f t="shared" ref="Q214:Q251" si="12">AVERAGE(E214:P214)</f>
        <v>53.1</v>
      </c>
      <c r="R214" s="321" t="str">
        <f t="shared" si="10"/>
        <v>NO</v>
      </c>
      <c r="S214" s="321" t="str">
        <f t="shared" si="11"/>
        <v>Alto</v>
      </c>
      <c r="T214" s="183"/>
    </row>
    <row r="215" spans="1:20" s="180" customFormat="1" ht="32.1" customHeight="1">
      <c r="A215" s="564" t="s">
        <v>145</v>
      </c>
      <c r="B215" s="563" t="s">
        <v>2708</v>
      </c>
      <c r="C215" s="563" t="s">
        <v>2830</v>
      </c>
      <c r="D215" s="346">
        <v>48</v>
      </c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>
        <v>97.3</v>
      </c>
      <c r="Q215" s="321">
        <f t="shared" si="12"/>
        <v>97.3</v>
      </c>
      <c r="R215" s="321" t="str">
        <f t="shared" si="10"/>
        <v>NO</v>
      </c>
      <c r="S215" s="321" t="str">
        <f t="shared" si="11"/>
        <v>Inviable Sanitariamente</v>
      </c>
      <c r="T215" s="183"/>
    </row>
    <row r="216" spans="1:20" s="180" customFormat="1" ht="32.1" customHeight="1">
      <c r="A216" s="562" t="s">
        <v>145</v>
      </c>
      <c r="B216" s="563" t="s">
        <v>2831</v>
      </c>
      <c r="C216" s="563" t="s">
        <v>2832</v>
      </c>
      <c r="D216" s="304">
        <v>49</v>
      </c>
      <c r="E216" s="339"/>
      <c r="F216" s="339">
        <v>53.1</v>
      </c>
      <c r="G216" s="339"/>
      <c r="H216" s="339"/>
      <c r="I216" s="339"/>
      <c r="J216" s="339"/>
      <c r="K216" s="339"/>
      <c r="L216" s="339"/>
      <c r="M216" s="339"/>
      <c r="N216" s="339"/>
      <c r="O216" s="339"/>
      <c r="P216" s="339"/>
      <c r="Q216" s="321">
        <f t="shared" si="12"/>
        <v>53.1</v>
      </c>
      <c r="R216" s="321" t="str">
        <f t="shared" si="10"/>
        <v>NO</v>
      </c>
      <c r="S216" s="321" t="str">
        <f t="shared" si="11"/>
        <v>Alto</v>
      </c>
      <c r="T216" s="183"/>
    </row>
    <row r="217" spans="1:20" s="180" customFormat="1" ht="32.1" customHeight="1">
      <c r="A217" s="404" t="s">
        <v>145</v>
      </c>
      <c r="B217" s="302" t="s">
        <v>2833</v>
      </c>
      <c r="C217" s="302" t="s">
        <v>2834</v>
      </c>
      <c r="D217" s="346">
        <v>40</v>
      </c>
      <c r="E217" s="47"/>
      <c r="F217" s="47"/>
      <c r="G217" s="47"/>
      <c r="H217" s="47"/>
      <c r="I217" s="47"/>
      <c r="J217" s="47"/>
      <c r="K217" s="47"/>
      <c r="L217" s="47">
        <v>97.3</v>
      </c>
      <c r="M217" s="47"/>
      <c r="N217" s="47"/>
      <c r="O217" s="47"/>
      <c r="P217" s="47"/>
      <c r="Q217" s="321">
        <f t="shared" si="12"/>
        <v>97.3</v>
      </c>
      <c r="R217" s="321" t="str">
        <f t="shared" si="10"/>
        <v>NO</v>
      </c>
      <c r="S217" s="321" t="str">
        <f t="shared" si="11"/>
        <v>Inviable Sanitariamente</v>
      </c>
      <c r="T217" s="183"/>
    </row>
    <row r="218" spans="1:20" s="180" customFormat="1" ht="32.1" customHeight="1">
      <c r="A218" s="404" t="s">
        <v>145</v>
      </c>
      <c r="B218" s="302" t="s">
        <v>2835</v>
      </c>
      <c r="C218" s="302" t="s">
        <v>2836</v>
      </c>
      <c r="D218" s="399">
        <v>43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>
        <v>97.3</v>
      </c>
      <c r="O218" s="47"/>
      <c r="P218" s="47"/>
      <c r="Q218" s="321">
        <f t="shared" si="12"/>
        <v>97.3</v>
      </c>
      <c r="R218" s="321" t="str">
        <f t="shared" si="10"/>
        <v>NO</v>
      </c>
      <c r="S218" s="321" t="str">
        <f t="shared" si="11"/>
        <v>Inviable Sanitariamente</v>
      </c>
      <c r="T218" s="183"/>
    </row>
    <row r="219" spans="1:20" s="180" customFormat="1" ht="32.1" customHeight="1">
      <c r="A219" s="404" t="s">
        <v>145</v>
      </c>
      <c r="B219" s="302" t="s">
        <v>2837</v>
      </c>
      <c r="C219" s="302" t="s">
        <v>2838</v>
      </c>
      <c r="D219" s="346">
        <v>120</v>
      </c>
      <c r="E219" s="47"/>
      <c r="F219" s="47"/>
      <c r="G219" s="47"/>
      <c r="H219" s="47"/>
      <c r="I219" s="47"/>
      <c r="J219" s="47"/>
      <c r="K219" s="47"/>
      <c r="L219" s="47"/>
      <c r="M219" s="47">
        <v>97.3</v>
      </c>
      <c r="N219" s="47"/>
      <c r="O219" s="47"/>
      <c r="P219" s="47"/>
      <c r="Q219" s="321">
        <f t="shared" si="12"/>
        <v>97.3</v>
      </c>
      <c r="R219" s="321" t="str">
        <f t="shared" si="10"/>
        <v>NO</v>
      </c>
      <c r="S219" s="321" t="str">
        <f t="shared" si="11"/>
        <v>Inviable Sanitariamente</v>
      </c>
      <c r="T219" s="183"/>
    </row>
    <row r="220" spans="1:20" s="180" customFormat="1" ht="32.1" customHeight="1">
      <c r="A220" s="564" t="s">
        <v>145</v>
      </c>
      <c r="B220" s="565" t="s">
        <v>809</v>
      </c>
      <c r="C220" s="565" t="s">
        <v>2839</v>
      </c>
      <c r="D220" s="304">
        <v>30</v>
      </c>
      <c r="E220" s="339"/>
      <c r="F220" s="339"/>
      <c r="G220" s="339"/>
      <c r="H220" s="339"/>
      <c r="I220" s="339"/>
      <c r="J220" s="339">
        <v>53.1</v>
      </c>
      <c r="K220" s="339"/>
      <c r="L220" s="339"/>
      <c r="M220" s="339"/>
      <c r="N220" s="339"/>
      <c r="O220" s="339"/>
      <c r="P220" s="339"/>
      <c r="Q220" s="321">
        <f t="shared" si="12"/>
        <v>53.1</v>
      </c>
      <c r="R220" s="321" t="str">
        <f t="shared" si="10"/>
        <v>NO</v>
      </c>
      <c r="S220" s="321" t="str">
        <f t="shared" si="11"/>
        <v>Alto</v>
      </c>
      <c r="T220" s="183"/>
    </row>
    <row r="221" spans="1:20" s="180" customFormat="1" ht="32.1" customHeight="1">
      <c r="A221" s="564" t="s">
        <v>145</v>
      </c>
      <c r="B221" s="565" t="s">
        <v>2824</v>
      </c>
      <c r="C221" s="565" t="s">
        <v>2840</v>
      </c>
      <c r="D221" s="304">
        <v>10</v>
      </c>
      <c r="E221" s="339"/>
      <c r="F221" s="339"/>
      <c r="G221" s="339"/>
      <c r="H221" s="339"/>
      <c r="I221" s="339"/>
      <c r="J221" s="339"/>
      <c r="K221" s="339">
        <v>53.1</v>
      </c>
      <c r="L221" s="339"/>
      <c r="M221" s="339"/>
      <c r="N221" s="339"/>
      <c r="O221" s="339"/>
      <c r="P221" s="339"/>
      <c r="Q221" s="321">
        <f t="shared" si="12"/>
        <v>53.1</v>
      </c>
      <c r="R221" s="321" t="str">
        <f t="shared" si="10"/>
        <v>NO</v>
      </c>
      <c r="S221" s="321" t="str">
        <f t="shared" si="11"/>
        <v>Alto</v>
      </c>
      <c r="T221" s="183"/>
    </row>
    <row r="222" spans="1:20" s="180" customFormat="1" ht="32.1" customHeight="1">
      <c r="A222" s="564" t="s">
        <v>145</v>
      </c>
      <c r="B222" s="565" t="s">
        <v>2841</v>
      </c>
      <c r="C222" s="565" t="s">
        <v>2842</v>
      </c>
      <c r="D222" s="304"/>
      <c r="E222" s="339"/>
      <c r="F222" s="339"/>
      <c r="G222" s="339"/>
      <c r="H222" s="339"/>
      <c r="I222" s="339"/>
      <c r="J222" s="339"/>
      <c r="K222" s="339"/>
      <c r="L222" s="339"/>
      <c r="M222" s="339"/>
      <c r="N222" s="339"/>
      <c r="O222" s="339"/>
      <c r="P222" s="339"/>
      <c r="Q222" s="321"/>
      <c r="R222" s="321"/>
      <c r="S222" s="321"/>
      <c r="T222" s="183"/>
    </row>
    <row r="223" spans="1:20" s="180" customFormat="1" ht="32.1" customHeight="1">
      <c r="A223" s="564" t="s">
        <v>145</v>
      </c>
      <c r="B223" s="565" t="s">
        <v>2843</v>
      </c>
      <c r="C223" s="565" t="s">
        <v>2844</v>
      </c>
      <c r="D223" s="304">
        <v>42</v>
      </c>
      <c r="E223" s="339"/>
      <c r="F223" s="339"/>
      <c r="G223" s="339">
        <v>53.5</v>
      </c>
      <c r="H223" s="339"/>
      <c r="I223" s="339"/>
      <c r="J223" s="339"/>
      <c r="K223" s="339"/>
      <c r="L223" s="339"/>
      <c r="M223" s="339"/>
      <c r="N223" s="339"/>
      <c r="O223" s="339"/>
      <c r="P223" s="339"/>
      <c r="Q223" s="321">
        <f t="shared" si="12"/>
        <v>53.5</v>
      </c>
      <c r="R223" s="321" t="str">
        <f t="shared" si="10"/>
        <v>NO</v>
      </c>
      <c r="S223" s="321" t="str">
        <f t="shared" si="11"/>
        <v>Alto</v>
      </c>
      <c r="T223" s="183"/>
    </row>
    <row r="224" spans="1:20" s="180" customFormat="1" ht="32.1" customHeight="1">
      <c r="A224" s="564" t="s">
        <v>145</v>
      </c>
      <c r="B224" s="565" t="s">
        <v>2845</v>
      </c>
      <c r="C224" s="565" t="s">
        <v>2846</v>
      </c>
      <c r="D224" s="304">
        <v>37</v>
      </c>
      <c r="E224" s="339"/>
      <c r="F224" s="339"/>
      <c r="G224" s="339"/>
      <c r="H224" s="339"/>
      <c r="I224" s="339"/>
      <c r="J224" s="339"/>
      <c r="K224" s="339"/>
      <c r="L224" s="339"/>
      <c r="M224" s="339"/>
      <c r="N224" s="339"/>
      <c r="O224" s="339"/>
      <c r="P224" s="339"/>
      <c r="Q224" s="321"/>
      <c r="R224" s="321"/>
      <c r="S224" s="321"/>
      <c r="T224" s="183"/>
    </row>
    <row r="225" spans="1:20" s="180" customFormat="1" ht="32.1" customHeight="1">
      <c r="A225" s="564" t="s">
        <v>145</v>
      </c>
      <c r="B225" s="565" t="s">
        <v>2847</v>
      </c>
      <c r="C225" s="565" t="s">
        <v>2848</v>
      </c>
      <c r="D225" s="346">
        <v>55</v>
      </c>
      <c r="E225" s="47"/>
      <c r="F225" s="47"/>
      <c r="G225" s="390"/>
      <c r="H225" s="47"/>
      <c r="I225" s="47"/>
      <c r="J225" s="47"/>
      <c r="K225" s="47"/>
      <c r="L225" s="47"/>
      <c r="M225" s="47"/>
      <c r="N225" s="47">
        <v>97.3</v>
      </c>
      <c r="O225" s="47"/>
      <c r="P225" s="47"/>
      <c r="Q225" s="321">
        <f t="shared" si="12"/>
        <v>97.3</v>
      </c>
      <c r="R225" s="321" t="str">
        <f t="shared" si="10"/>
        <v>NO</v>
      </c>
      <c r="S225" s="321" t="str">
        <f t="shared" si="11"/>
        <v>Inviable Sanitariamente</v>
      </c>
      <c r="T225" s="183"/>
    </row>
    <row r="226" spans="1:20" s="180" customFormat="1" ht="32.1" customHeight="1">
      <c r="A226" s="564" t="s">
        <v>145</v>
      </c>
      <c r="B226" s="565" t="s">
        <v>2849</v>
      </c>
      <c r="C226" s="565" t="s">
        <v>2850</v>
      </c>
      <c r="D226" s="304"/>
      <c r="E226" s="339"/>
      <c r="F226" s="339"/>
      <c r="G226" s="339"/>
      <c r="H226" s="339"/>
      <c r="I226" s="339"/>
      <c r="J226" s="339"/>
      <c r="K226" s="339"/>
      <c r="L226" s="339"/>
      <c r="M226" s="339"/>
      <c r="N226" s="339"/>
      <c r="O226" s="339"/>
      <c r="P226" s="339"/>
      <c r="Q226" s="321"/>
      <c r="R226" s="321"/>
      <c r="S226" s="321"/>
      <c r="T226" s="183"/>
    </row>
    <row r="227" spans="1:20" s="180" customFormat="1" ht="32.1" customHeight="1">
      <c r="A227" s="564" t="s">
        <v>145</v>
      </c>
      <c r="B227" s="565" t="s">
        <v>2851</v>
      </c>
      <c r="C227" s="565" t="s">
        <v>2852</v>
      </c>
      <c r="D227" s="304"/>
      <c r="E227" s="339"/>
      <c r="F227" s="339"/>
      <c r="G227" s="339"/>
      <c r="H227" s="339"/>
      <c r="I227" s="339"/>
      <c r="J227" s="339"/>
      <c r="K227" s="339"/>
      <c r="L227" s="339"/>
      <c r="M227" s="339"/>
      <c r="N227" s="339"/>
      <c r="O227" s="339"/>
      <c r="P227" s="339"/>
      <c r="Q227" s="321"/>
      <c r="R227" s="321"/>
      <c r="S227" s="321"/>
      <c r="T227" s="183"/>
    </row>
    <row r="228" spans="1:20" s="180" customFormat="1" ht="32.1" customHeight="1">
      <c r="A228" s="564" t="s">
        <v>145</v>
      </c>
      <c r="B228" s="565" t="s">
        <v>1372</v>
      </c>
      <c r="C228" s="565" t="s">
        <v>2853</v>
      </c>
      <c r="D228" s="304">
        <v>45</v>
      </c>
      <c r="E228" s="339"/>
      <c r="F228" s="339"/>
      <c r="G228" s="339"/>
      <c r="H228" s="339"/>
      <c r="I228" s="339">
        <v>53.1</v>
      </c>
      <c r="J228" s="339"/>
      <c r="K228" s="339"/>
      <c r="L228" s="339"/>
      <c r="M228" s="339"/>
      <c r="N228" s="339"/>
      <c r="O228" s="339"/>
      <c r="P228" s="339"/>
      <c r="Q228" s="321">
        <f t="shared" si="12"/>
        <v>53.1</v>
      </c>
      <c r="R228" s="321" t="str">
        <f t="shared" si="10"/>
        <v>NO</v>
      </c>
      <c r="S228" s="321" t="str">
        <f t="shared" si="11"/>
        <v>Alto</v>
      </c>
      <c r="T228" s="183"/>
    </row>
    <row r="229" spans="1:20" s="180" customFormat="1" ht="32.1" customHeight="1">
      <c r="A229" s="564" t="s">
        <v>145</v>
      </c>
      <c r="B229" s="565" t="s">
        <v>2854</v>
      </c>
      <c r="C229" s="565" t="s">
        <v>2855</v>
      </c>
      <c r="D229" s="304">
        <v>23</v>
      </c>
      <c r="E229" s="339"/>
      <c r="F229" s="339">
        <v>53.1</v>
      </c>
      <c r="G229" s="339"/>
      <c r="H229" s="339"/>
      <c r="I229" s="339"/>
      <c r="J229" s="339"/>
      <c r="K229" s="339"/>
      <c r="L229" s="339"/>
      <c r="M229" s="339"/>
      <c r="N229" s="339"/>
      <c r="O229" s="339"/>
      <c r="P229" s="339"/>
      <c r="Q229" s="321">
        <f t="shared" si="12"/>
        <v>53.1</v>
      </c>
      <c r="R229" s="321" t="str">
        <f t="shared" si="10"/>
        <v>NO</v>
      </c>
      <c r="S229" s="321" t="str">
        <f t="shared" si="11"/>
        <v>Alto</v>
      </c>
      <c r="T229" s="183"/>
    </row>
    <row r="230" spans="1:20" s="180" customFormat="1" ht="32.1" customHeight="1">
      <c r="A230" s="564" t="s">
        <v>145</v>
      </c>
      <c r="B230" s="565" t="s">
        <v>76</v>
      </c>
      <c r="C230" s="565" t="s">
        <v>2856</v>
      </c>
      <c r="D230" s="304"/>
      <c r="E230" s="339"/>
      <c r="F230" s="339"/>
      <c r="G230" s="339"/>
      <c r="H230" s="339"/>
      <c r="I230" s="339"/>
      <c r="J230" s="339"/>
      <c r="K230" s="339"/>
      <c r="L230" s="339"/>
      <c r="M230" s="339"/>
      <c r="N230" s="339"/>
      <c r="O230" s="339"/>
      <c r="P230" s="339"/>
      <c r="Q230" s="321"/>
      <c r="R230" s="321"/>
      <c r="S230" s="321"/>
      <c r="T230" s="183"/>
    </row>
    <row r="231" spans="1:20" s="180" customFormat="1" ht="32.1" customHeight="1">
      <c r="A231" s="564" t="s">
        <v>145</v>
      </c>
      <c r="B231" s="565" t="s">
        <v>2857</v>
      </c>
      <c r="C231" s="565" t="s">
        <v>2858</v>
      </c>
      <c r="D231" s="304">
        <v>21</v>
      </c>
      <c r="E231" s="339"/>
      <c r="F231" s="339"/>
      <c r="G231" s="339"/>
      <c r="H231" s="339"/>
      <c r="I231" s="339">
        <v>53.5</v>
      </c>
      <c r="J231" s="339"/>
      <c r="K231" s="339"/>
      <c r="L231" s="339"/>
      <c r="M231" s="339"/>
      <c r="N231" s="339"/>
      <c r="O231" s="339"/>
      <c r="P231" s="339"/>
      <c r="Q231" s="321">
        <f t="shared" si="12"/>
        <v>53.5</v>
      </c>
      <c r="R231" s="321" t="str">
        <f t="shared" si="10"/>
        <v>NO</v>
      </c>
      <c r="S231" s="321" t="str">
        <f t="shared" si="11"/>
        <v>Alto</v>
      </c>
      <c r="T231" s="183"/>
    </row>
    <row r="232" spans="1:20" s="180" customFormat="1" ht="32.1" customHeight="1">
      <c r="A232" s="564" t="s">
        <v>145</v>
      </c>
      <c r="B232" s="565" t="s">
        <v>1059</v>
      </c>
      <c r="C232" s="565" t="s">
        <v>2859</v>
      </c>
      <c r="D232" s="304"/>
      <c r="E232" s="339"/>
      <c r="F232" s="339"/>
      <c r="G232" s="339"/>
      <c r="H232" s="339"/>
      <c r="I232" s="339"/>
      <c r="J232" s="339"/>
      <c r="K232" s="339"/>
      <c r="L232" s="339"/>
      <c r="M232" s="339"/>
      <c r="N232" s="339"/>
      <c r="O232" s="339"/>
      <c r="P232" s="339"/>
      <c r="Q232" s="321"/>
      <c r="R232" s="321"/>
      <c r="S232" s="321"/>
      <c r="T232" s="183"/>
    </row>
    <row r="233" spans="1:20" s="180" customFormat="1" ht="32.1" customHeight="1">
      <c r="A233" s="564" t="s">
        <v>145</v>
      </c>
      <c r="B233" s="565" t="s">
        <v>2555</v>
      </c>
      <c r="C233" s="565" t="s">
        <v>2860</v>
      </c>
      <c r="D233" s="304">
        <v>66</v>
      </c>
      <c r="E233" s="339"/>
      <c r="F233" s="339"/>
      <c r="G233" s="339"/>
      <c r="H233" s="339"/>
      <c r="I233" s="339">
        <v>53.1</v>
      </c>
      <c r="J233" s="339"/>
      <c r="K233" s="339"/>
      <c r="L233" s="339"/>
      <c r="M233" s="339"/>
      <c r="N233" s="339"/>
      <c r="O233" s="339"/>
      <c r="P233" s="339"/>
      <c r="Q233" s="321">
        <f t="shared" si="12"/>
        <v>53.1</v>
      </c>
      <c r="R233" s="321" t="str">
        <f t="shared" si="10"/>
        <v>NO</v>
      </c>
      <c r="S233" s="321" t="str">
        <f t="shared" si="11"/>
        <v>Alto</v>
      </c>
      <c r="T233" s="183"/>
    </row>
    <row r="234" spans="1:20" s="180" customFormat="1" ht="32.1" customHeight="1">
      <c r="A234" s="564" t="s">
        <v>145</v>
      </c>
      <c r="B234" s="565" t="s">
        <v>2861</v>
      </c>
      <c r="C234" s="565" t="s">
        <v>2862</v>
      </c>
      <c r="D234" s="304"/>
      <c r="E234" s="339"/>
      <c r="F234" s="339"/>
      <c r="G234" s="339"/>
      <c r="H234" s="339"/>
      <c r="I234" s="339"/>
      <c r="J234" s="339"/>
      <c r="K234" s="339"/>
      <c r="L234" s="339"/>
      <c r="M234" s="339"/>
      <c r="N234" s="339"/>
      <c r="O234" s="339"/>
      <c r="P234" s="339"/>
      <c r="Q234" s="321"/>
      <c r="R234" s="321"/>
      <c r="S234" s="321"/>
      <c r="T234" s="183"/>
    </row>
    <row r="235" spans="1:20" s="180" customFormat="1" ht="32.1" customHeight="1">
      <c r="A235" s="404" t="s">
        <v>145</v>
      </c>
      <c r="B235" s="302" t="s">
        <v>2863</v>
      </c>
      <c r="C235" s="302" t="s">
        <v>2864</v>
      </c>
      <c r="D235" s="346">
        <v>32</v>
      </c>
      <c r="E235" s="47"/>
      <c r="F235" s="47"/>
      <c r="G235" s="47"/>
      <c r="H235" s="47"/>
      <c r="I235" s="47">
        <v>97.3</v>
      </c>
      <c r="J235" s="47"/>
      <c r="K235" s="47"/>
      <c r="L235" s="47"/>
      <c r="M235" s="47"/>
      <c r="N235" s="47"/>
      <c r="O235" s="47"/>
      <c r="P235" s="47"/>
      <c r="Q235" s="321">
        <f t="shared" si="12"/>
        <v>97.3</v>
      </c>
      <c r="R235" s="321" t="str">
        <f t="shared" si="10"/>
        <v>NO</v>
      </c>
      <c r="S235" s="321" t="str">
        <f t="shared" si="11"/>
        <v>Inviable Sanitariamente</v>
      </c>
      <c r="T235" s="183"/>
    </row>
    <row r="236" spans="1:20" s="180" customFormat="1" ht="32.1" customHeight="1">
      <c r="A236" s="562" t="s">
        <v>145</v>
      </c>
      <c r="B236" s="563" t="s">
        <v>2865</v>
      </c>
      <c r="C236" s="563" t="s">
        <v>2866</v>
      </c>
      <c r="D236" s="304">
        <v>28</v>
      </c>
      <c r="E236" s="339"/>
      <c r="F236" s="339"/>
      <c r="G236" s="339"/>
      <c r="H236" s="339"/>
      <c r="I236" s="339"/>
      <c r="J236" s="339"/>
      <c r="K236" s="339"/>
      <c r="L236" s="339">
        <v>53.1</v>
      </c>
      <c r="M236" s="339"/>
      <c r="N236" s="339"/>
      <c r="O236" s="339"/>
      <c r="P236" s="339"/>
      <c r="Q236" s="321">
        <f t="shared" si="12"/>
        <v>53.1</v>
      </c>
      <c r="R236" s="321" t="str">
        <f t="shared" si="10"/>
        <v>NO</v>
      </c>
      <c r="S236" s="321" t="str">
        <f t="shared" si="11"/>
        <v>Alto</v>
      </c>
      <c r="T236" s="183"/>
    </row>
    <row r="237" spans="1:20" s="180" customFormat="1" ht="32.1" customHeight="1">
      <c r="A237" s="564" t="s">
        <v>145</v>
      </c>
      <c r="B237" s="563" t="s">
        <v>2867</v>
      </c>
      <c r="C237" s="563" t="s">
        <v>2868</v>
      </c>
      <c r="D237" s="346">
        <v>150</v>
      </c>
      <c r="E237" s="47"/>
      <c r="F237" s="47"/>
      <c r="G237" s="47"/>
      <c r="H237" s="47"/>
      <c r="I237" s="47"/>
      <c r="J237" s="47"/>
      <c r="K237" s="47"/>
      <c r="L237" s="47"/>
      <c r="M237" s="47">
        <v>97.3</v>
      </c>
      <c r="N237" s="47"/>
      <c r="O237" s="47"/>
      <c r="P237" s="47"/>
      <c r="Q237" s="321">
        <f t="shared" si="12"/>
        <v>97.3</v>
      </c>
      <c r="R237" s="321" t="str">
        <f t="shared" si="10"/>
        <v>NO</v>
      </c>
      <c r="S237" s="321" t="str">
        <f t="shared" si="11"/>
        <v>Inviable Sanitariamente</v>
      </c>
      <c r="T237" s="183"/>
    </row>
    <row r="238" spans="1:20" s="180" customFormat="1" ht="32.1" customHeight="1">
      <c r="A238" s="564" t="s">
        <v>145</v>
      </c>
      <c r="B238" s="563" t="s">
        <v>2869</v>
      </c>
      <c r="C238" s="563" t="s">
        <v>2870</v>
      </c>
      <c r="D238" s="346">
        <v>103</v>
      </c>
      <c r="E238" s="47"/>
      <c r="F238" s="47"/>
      <c r="G238" s="47"/>
      <c r="H238" s="47"/>
      <c r="I238" s="47"/>
      <c r="J238" s="47"/>
      <c r="K238" s="47"/>
      <c r="L238" s="47">
        <v>97.3</v>
      </c>
      <c r="M238" s="47"/>
      <c r="N238" s="47"/>
      <c r="O238" s="47"/>
      <c r="P238" s="47"/>
      <c r="Q238" s="321">
        <f t="shared" si="12"/>
        <v>97.3</v>
      </c>
      <c r="R238" s="321" t="str">
        <f t="shared" si="10"/>
        <v>NO</v>
      </c>
      <c r="S238" s="321" t="str">
        <f t="shared" si="11"/>
        <v>Inviable Sanitariamente</v>
      </c>
      <c r="T238" s="183"/>
    </row>
    <row r="239" spans="1:20" s="180" customFormat="1" ht="32.1" customHeight="1">
      <c r="A239" s="564" t="s">
        <v>145</v>
      </c>
      <c r="B239" s="563" t="s">
        <v>2871</v>
      </c>
      <c r="C239" s="563" t="s">
        <v>2872</v>
      </c>
      <c r="D239" s="346">
        <v>120</v>
      </c>
      <c r="E239" s="47"/>
      <c r="F239" s="47"/>
      <c r="G239" s="47"/>
      <c r="H239" s="47"/>
      <c r="I239" s="47"/>
      <c r="J239" s="47"/>
      <c r="K239" s="47"/>
      <c r="L239" s="47">
        <v>97.3</v>
      </c>
      <c r="M239" s="47"/>
      <c r="N239" s="47"/>
      <c r="O239" s="47"/>
      <c r="P239" s="47"/>
      <c r="Q239" s="321">
        <f t="shared" si="12"/>
        <v>97.3</v>
      </c>
      <c r="R239" s="321" t="str">
        <f t="shared" si="10"/>
        <v>NO</v>
      </c>
      <c r="S239" s="321" t="str">
        <f t="shared" si="11"/>
        <v>Inviable Sanitariamente</v>
      </c>
      <c r="T239" s="183"/>
    </row>
    <row r="240" spans="1:20" s="180" customFormat="1" ht="32.1" customHeight="1">
      <c r="A240" s="564" t="s">
        <v>145</v>
      </c>
      <c r="B240" s="563" t="s">
        <v>2873</v>
      </c>
      <c r="C240" s="563" t="s">
        <v>2874</v>
      </c>
      <c r="D240" s="346"/>
      <c r="E240" s="47"/>
      <c r="F240" s="47"/>
      <c r="G240" s="47"/>
      <c r="H240" s="47"/>
      <c r="I240" s="47"/>
      <c r="J240" s="47"/>
      <c r="K240" s="47"/>
      <c r="L240" s="47"/>
      <c r="M240" s="47">
        <v>97.3</v>
      </c>
      <c r="N240" s="47"/>
      <c r="O240" s="47"/>
      <c r="P240" s="47"/>
      <c r="Q240" s="321">
        <f t="shared" si="12"/>
        <v>97.3</v>
      </c>
      <c r="R240" s="321" t="str">
        <f t="shared" si="10"/>
        <v>NO</v>
      </c>
      <c r="S240" s="321" t="str">
        <f t="shared" si="11"/>
        <v>Inviable Sanitariamente</v>
      </c>
      <c r="T240" s="183"/>
    </row>
    <row r="241" spans="1:20" s="180" customFormat="1" ht="32.1" customHeight="1">
      <c r="A241" s="562" t="s">
        <v>145</v>
      </c>
      <c r="B241" s="563" t="s">
        <v>2875</v>
      </c>
      <c r="C241" s="563" t="s">
        <v>2876</v>
      </c>
      <c r="D241" s="304">
        <v>20</v>
      </c>
      <c r="E241" s="339"/>
      <c r="F241" s="339"/>
      <c r="G241" s="339"/>
      <c r="H241" s="339"/>
      <c r="I241" s="339"/>
      <c r="J241" s="339"/>
      <c r="K241" s="339"/>
      <c r="L241" s="339"/>
      <c r="M241" s="339">
        <v>53.1</v>
      </c>
      <c r="N241" s="339"/>
      <c r="O241" s="339"/>
      <c r="P241" s="339"/>
      <c r="Q241" s="321">
        <f t="shared" si="12"/>
        <v>53.1</v>
      </c>
      <c r="R241" s="321" t="str">
        <f t="shared" si="10"/>
        <v>NO</v>
      </c>
      <c r="S241" s="321" t="str">
        <f t="shared" si="11"/>
        <v>Alto</v>
      </c>
      <c r="T241" s="183"/>
    </row>
    <row r="242" spans="1:20" s="180" customFormat="1" ht="32.1" customHeight="1">
      <c r="A242" s="564" t="s">
        <v>145</v>
      </c>
      <c r="B242" s="563" t="s">
        <v>2877</v>
      </c>
      <c r="C242" s="563" t="s">
        <v>2878</v>
      </c>
      <c r="D242" s="346">
        <v>50</v>
      </c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>
        <v>97.3</v>
      </c>
      <c r="Q242" s="321">
        <f t="shared" si="12"/>
        <v>97.3</v>
      </c>
      <c r="R242" s="321" t="str">
        <f t="shared" si="10"/>
        <v>NO</v>
      </c>
      <c r="S242" s="321" t="str">
        <f t="shared" si="11"/>
        <v>Inviable Sanitariamente</v>
      </c>
      <c r="T242" s="183"/>
    </row>
    <row r="243" spans="1:20" s="180" customFormat="1" ht="32.1" customHeight="1">
      <c r="A243" s="562" t="s">
        <v>145</v>
      </c>
      <c r="B243" s="563" t="s">
        <v>2879</v>
      </c>
      <c r="C243" s="563" t="s">
        <v>2880</v>
      </c>
      <c r="D243" s="304">
        <v>30</v>
      </c>
      <c r="E243" s="339"/>
      <c r="F243" s="339"/>
      <c r="G243" s="339"/>
      <c r="H243" s="339"/>
      <c r="I243" s="339"/>
      <c r="J243" s="339">
        <v>53.1</v>
      </c>
      <c r="K243" s="339"/>
      <c r="L243" s="339"/>
      <c r="M243" s="339"/>
      <c r="N243" s="339"/>
      <c r="O243" s="339"/>
      <c r="P243" s="339"/>
      <c r="Q243" s="321">
        <f t="shared" si="12"/>
        <v>53.1</v>
      </c>
      <c r="R243" s="321" t="str">
        <f t="shared" si="10"/>
        <v>NO</v>
      </c>
      <c r="S243" s="321" t="str">
        <f t="shared" si="11"/>
        <v>Alto</v>
      </c>
      <c r="T243" s="183"/>
    </row>
    <row r="244" spans="1:20" s="180" customFormat="1" ht="32.1" customHeight="1">
      <c r="A244" s="564" t="s">
        <v>145</v>
      </c>
      <c r="B244" s="563" t="s">
        <v>1116</v>
      </c>
      <c r="C244" s="563" t="s">
        <v>2881</v>
      </c>
      <c r="D244" s="346">
        <v>40</v>
      </c>
      <c r="E244" s="47"/>
      <c r="F244" s="47"/>
      <c r="G244" s="47"/>
      <c r="H244" s="47"/>
      <c r="I244" s="47"/>
      <c r="J244" s="47"/>
      <c r="K244" s="47"/>
      <c r="L244" s="47">
        <v>97.3</v>
      </c>
      <c r="M244" s="47"/>
      <c r="N244" s="47"/>
      <c r="O244" s="47"/>
      <c r="P244" s="47"/>
      <c r="Q244" s="321">
        <f t="shared" si="12"/>
        <v>97.3</v>
      </c>
      <c r="R244" s="321" t="str">
        <f t="shared" si="10"/>
        <v>NO</v>
      </c>
      <c r="S244" s="321" t="str">
        <f t="shared" si="11"/>
        <v>Inviable Sanitariamente</v>
      </c>
      <c r="T244" s="183"/>
    </row>
    <row r="245" spans="1:20" s="180" customFormat="1" ht="32.1" customHeight="1">
      <c r="A245" s="564" t="s">
        <v>145</v>
      </c>
      <c r="B245" s="563" t="s">
        <v>2882</v>
      </c>
      <c r="C245" s="563" t="s">
        <v>2883</v>
      </c>
      <c r="D245" s="346">
        <v>25</v>
      </c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>
        <v>97.3</v>
      </c>
      <c r="P245" s="47"/>
      <c r="Q245" s="321">
        <f t="shared" si="12"/>
        <v>97.3</v>
      </c>
      <c r="R245" s="321" t="str">
        <f t="shared" si="10"/>
        <v>NO</v>
      </c>
      <c r="S245" s="321" t="str">
        <f t="shared" si="11"/>
        <v>Inviable Sanitariamente</v>
      </c>
      <c r="T245" s="183"/>
    </row>
    <row r="246" spans="1:20" s="180" customFormat="1" ht="32.1" customHeight="1">
      <c r="A246" s="562" t="s">
        <v>145</v>
      </c>
      <c r="B246" s="563" t="s">
        <v>61</v>
      </c>
      <c r="C246" s="563" t="s">
        <v>2884</v>
      </c>
      <c r="D246" s="304">
        <v>16</v>
      </c>
      <c r="E246" s="339"/>
      <c r="F246" s="339">
        <v>53.1</v>
      </c>
      <c r="G246" s="339"/>
      <c r="H246" s="339"/>
      <c r="I246" s="339"/>
      <c r="J246" s="339"/>
      <c r="K246" s="339"/>
      <c r="L246" s="339"/>
      <c r="M246" s="339"/>
      <c r="N246" s="339"/>
      <c r="O246" s="339"/>
      <c r="P246" s="339"/>
      <c r="Q246" s="321">
        <f t="shared" si="12"/>
        <v>53.1</v>
      </c>
      <c r="R246" s="321" t="str">
        <f t="shared" si="10"/>
        <v>NO</v>
      </c>
      <c r="S246" s="321" t="str">
        <f t="shared" si="11"/>
        <v>Alto</v>
      </c>
      <c r="T246" s="183"/>
    </row>
    <row r="247" spans="1:20" s="180" customFormat="1" ht="32.1" customHeight="1">
      <c r="A247" s="562" t="s">
        <v>145</v>
      </c>
      <c r="B247" s="563" t="s">
        <v>2885</v>
      </c>
      <c r="C247" s="563" t="s">
        <v>2886</v>
      </c>
      <c r="D247" s="304">
        <v>87</v>
      </c>
      <c r="E247" s="339"/>
      <c r="F247" s="339"/>
      <c r="G247" s="339"/>
      <c r="H247" s="339"/>
      <c r="I247" s="339"/>
      <c r="J247" s="339">
        <v>53.1</v>
      </c>
      <c r="K247" s="339"/>
      <c r="L247" s="339"/>
      <c r="M247" s="339"/>
      <c r="N247" s="339"/>
      <c r="O247" s="339"/>
      <c r="P247" s="339"/>
      <c r="Q247" s="321">
        <f t="shared" si="12"/>
        <v>53.1</v>
      </c>
      <c r="R247" s="321" t="str">
        <f t="shared" si="10"/>
        <v>NO</v>
      </c>
      <c r="S247" s="321" t="str">
        <f t="shared" si="11"/>
        <v>Alto</v>
      </c>
      <c r="T247" s="183"/>
    </row>
    <row r="248" spans="1:20" s="180" customFormat="1" ht="32.1" customHeight="1">
      <c r="A248" s="562" t="s">
        <v>145</v>
      </c>
      <c r="B248" s="563" t="s">
        <v>2887</v>
      </c>
      <c r="C248" s="563" t="s">
        <v>2888</v>
      </c>
      <c r="D248" s="304">
        <v>30</v>
      </c>
      <c r="E248" s="339"/>
      <c r="F248" s="339"/>
      <c r="G248" s="339"/>
      <c r="H248" s="339"/>
      <c r="I248" s="339"/>
      <c r="J248" s="339"/>
      <c r="K248" s="339">
        <v>53.1</v>
      </c>
      <c r="L248" s="339"/>
      <c r="M248" s="339"/>
      <c r="N248" s="339"/>
      <c r="O248" s="339"/>
      <c r="P248" s="339"/>
      <c r="Q248" s="321">
        <f t="shared" si="12"/>
        <v>53.1</v>
      </c>
      <c r="R248" s="321" t="str">
        <f t="shared" si="10"/>
        <v>NO</v>
      </c>
      <c r="S248" s="321" t="str">
        <f t="shared" si="11"/>
        <v>Alto</v>
      </c>
      <c r="T248" s="183"/>
    </row>
    <row r="249" spans="1:20" s="180" customFormat="1" ht="32.1" customHeight="1">
      <c r="A249" s="564" t="s">
        <v>145</v>
      </c>
      <c r="B249" s="563" t="s">
        <v>2889</v>
      </c>
      <c r="C249" s="563" t="s">
        <v>2890</v>
      </c>
      <c r="D249" s="346">
        <v>384</v>
      </c>
      <c r="E249" s="47"/>
      <c r="F249" s="47"/>
      <c r="G249" s="47">
        <v>97.3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321">
        <f>AVERAGE(E249:P249)</f>
        <v>97.3</v>
      </c>
      <c r="R249" s="321" t="str">
        <f>IF(Q249&lt;5,"SI","NO")</f>
        <v>NO</v>
      </c>
      <c r="S249" s="321" t="str">
        <f>IF(Q249&lt;=5,"Sin Riesgo",IF(Q249 &lt;=14,"Bajo",IF(Q249&lt;=35,"Medio",IF(Q249&lt;=80,"Alto","Inviable Sanitariamente"))))</f>
        <v>Inviable Sanitariamente</v>
      </c>
      <c r="T249" s="183"/>
    </row>
    <row r="250" spans="1:20" s="180" customFormat="1" ht="32.1" customHeight="1">
      <c r="A250" s="562" t="s">
        <v>145</v>
      </c>
      <c r="B250" s="563" t="s">
        <v>1372</v>
      </c>
      <c r="C250" s="563" t="s">
        <v>2957</v>
      </c>
      <c r="D250" s="304">
        <v>36</v>
      </c>
      <c r="E250" s="339"/>
      <c r="F250" s="339"/>
      <c r="G250" s="339"/>
      <c r="H250" s="339"/>
      <c r="I250" s="339">
        <v>53.1</v>
      </c>
      <c r="J250" s="339"/>
      <c r="K250" s="339"/>
      <c r="L250" s="339"/>
      <c r="M250" s="339"/>
      <c r="N250" s="339"/>
      <c r="O250" s="339"/>
      <c r="P250" s="339"/>
      <c r="Q250" s="321">
        <f>AVERAGE(E250:P250)</f>
        <v>53.1</v>
      </c>
      <c r="R250" s="321" t="str">
        <f>IF(Q250&lt;5,"SI","NO")</f>
        <v>NO</v>
      </c>
      <c r="S250" s="321" t="str">
        <f>IF(Q250&lt;=5,"Sin Riesgo",IF(Q250 &lt;=14,"Bajo",IF(Q250&lt;=35,"Medio",IF(Q250&lt;=80,"Alto","Inviable Sanitariamente"))))</f>
        <v>Alto</v>
      </c>
      <c r="T250" s="183"/>
    </row>
    <row r="251" spans="1:20" s="180" customFormat="1" ht="32.1" customHeight="1">
      <c r="A251" s="564" t="s">
        <v>145</v>
      </c>
      <c r="B251" s="563" t="s">
        <v>4000</v>
      </c>
      <c r="C251" s="563" t="s">
        <v>4001</v>
      </c>
      <c r="D251" s="346">
        <v>20</v>
      </c>
      <c r="E251" s="47"/>
      <c r="F251" s="47"/>
      <c r="G251" s="47"/>
      <c r="H251" s="47"/>
      <c r="I251" s="47"/>
      <c r="J251" s="47"/>
      <c r="K251" s="47"/>
      <c r="L251" s="47">
        <v>97.3</v>
      </c>
      <c r="M251" s="47"/>
      <c r="N251" s="47"/>
      <c r="O251" s="47"/>
      <c r="P251" s="47"/>
      <c r="Q251" s="321">
        <f t="shared" si="12"/>
        <v>97.3</v>
      </c>
      <c r="R251" s="321" t="str">
        <f t="shared" ref="R251:R323" si="13">IF(Q251&lt;5,"SI","NO")</f>
        <v>NO</v>
      </c>
      <c r="S251" s="321" t="str">
        <f t="shared" si="11"/>
        <v>Inviable Sanitariamente</v>
      </c>
      <c r="T251" s="183"/>
    </row>
    <row r="252" spans="1:20" s="180" customFormat="1" ht="32.1" customHeight="1">
      <c r="A252" s="562" t="s">
        <v>147</v>
      </c>
      <c r="B252" s="563" t="s">
        <v>2891</v>
      </c>
      <c r="C252" s="563" t="s">
        <v>2892</v>
      </c>
      <c r="D252" s="304">
        <v>28</v>
      </c>
      <c r="E252" s="339"/>
      <c r="F252" s="339"/>
      <c r="G252" s="339"/>
      <c r="H252" s="339"/>
      <c r="I252" s="339"/>
      <c r="J252" s="339"/>
      <c r="K252" s="339">
        <v>97.3</v>
      </c>
      <c r="L252" s="339"/>
      <c r="M252" s="339"/>
      <c r="N252" s="339"/>
      <c r="O252" s="339"/>
      <c r="P252" s="339"/>
      <c r="Q252" s="321">
        <v>97.3</v>
      </c>
      <c r="R252" s="321" t="str">
        <f t="shared" si="13"/>
        <v>NO</v>
      </c>
      <c r="S252" s="321" t="str">
        <f t="shared" ref="S252:S324" si="14">IF(Q252&lt;=5,"Sin Riesgo",IF(Q252 &lt;=14,"Bajo",IF(Q252&lt;=35,"Medio",IF(Q252&lt;=80,"Alto","Inviable Sanitariamente"))))</f>
        <v>Inviable Sanitariamente</v>
      </c>
      <c r="T252" s="183"/>
    </row>
    <row r="253" spans="1:20" s="180" customFormat="1" ht="32.1" customHeight="1">
      <c r="A253" s="404" t="s">
        <v>147</v>
      </c>
      <c r="B253" s="302" t="s">
        <v>2893</v>
      </c>
      <c r="C253" s="302" t="s">
        <v>2894</v>
      </c>
      <c r="D253" s="418">
        <v>12</v>
      </c>
      <c r="E253" s="407"/>
      <c r="F253" s="407"/>
      <c r="G253" s="407"/>
      <c r="H253" s="407">
        <v>97.3</v>
      </c>
      <c r="I253" s="407"/>
      <c r="J253" s="407"/>
      <c r="K253" s="407"/>
      <c r="L253" s="407"/>
      <c r="M253" s="407"/>
      <c r="N253" s="407"/>
      <c r="O253" s="407"/>
      <c r="P253" s="407"/>
      <c r="Q253" s="321">
        <v>97.3</v>
      </c>
      <c r="R253" s="321" t="str">
        <f t="shared" si="13"/>
        <v>NO</v>
      </c>
      <c r="S253" s="321" t="str">
        <f t="shared" si="14"/>
        <v>Inviable Sanitariamente</v>
      </c>
      <c r="T253" s="183"/>
    </row>
    <row r="254" spans="1:20" s="180" customFormat="1" ht="32.1" customHeight="1">
      <c r="A254" s="404" t="s">
        <v>147</v>
      </c>
      <c r="B254" s="302" t="s">
        <v>2895</v>
      </c>
      <c r="C254" s="302" t="s">
        <v>2896</v>
      </c>
      <c r="D254" s="418">
        <v>30</v>
      </c>
      <c r="E254" s="407"/>
      <c r="F254" s="407"/>
      <c r="G254" s="407"/>
      <c r="H254" s="407">
        <v>97.3</v>
      </c>
      <c r="I254" s="407"/>
      <c r="J254" s="407"/>
      <c r="K254" s="407"/>
      <c r="L254" s="407"/>
      <c r="M254" s="407"/>
      <c r="N254" s="407"/>
      <c r="O254" s="407"/>
      <c r="P254" s="407"/>
      <c r="Q254" s="321">
        <v>97.3</v>
      </c>
      <c r="R254" s="321" t="str">
        <f t="shared" si="13"/>
        <v>NO</v>
      </c>
      <c r="S254" s="321" t="str">
        <f t="shared" si="14"/>
        <v>Inviable Sanitariamente</v>
      </c>
      <c r="T254" s="183"/>
    </row>
    <row r="255" spans="1:20" s="180" customFormat="1" ht="32.1" customHeight="1">
      <c r="A255" s="404" t="s">
        <v>147</v>
      </c>
      <c r="B255" s="302" t="s">
        <v>2897</v>
      </c>
      <c r="C255" s="302" t="s">
        <v>2898</v>
      </c>
      <c r="D255" s="418">
        <v>23</v>
      </c>
      <c r="E255" s="407"/>
      <c r="F255" s="407"/>
      <c r="G255" s="407"/>
      <c r="H255" s="407">
        <v>97.3</v>
      </c>
      <c r="I255" s="407"/>
      <c r="J255" s="407"/>
      <c r="K255" s="407"/>
      <c r="L255" s="407"/>
      <c r="M255" s="407"/>
      <c r="N255" s="407"/>
      <c r="O255" s="407"/>
      <c r="P255" s="407"/>
      <c r="Q255" s="321">
        <v>97.3</v>
      </c>
      <c r="R255" s="321" t="str">
        <f t="shared" si="13"/>
        <v>NO</v>
      </c>
      <c r="S255" s="321" t="str">
        <f t="shared" si="14"/>
        <v>Inviable Sanitariamente</v>
      </c>
      <c r="T255" s="183"/>
    </row>
    <row r="256" spans="1:20" s="180" customFormat="1" ht="32.1" customHeight="1">
      <c r="A256" s="562" t="s">
        <v>147</v>
      </c>
      <c r="B256" s="563" t="s">
        <v>2899</v>
      </c>
      <c r="C256" s="563" t="s">
        <v>2900</v>
      </c>
      <c r="D256" s="304">
        <v>36</v>
      </c>
      <c r="E256" s="339"/>
      <c r="F256" s="339"/>
      <c r="G256" s="339"/>
      <c r="H256" s="339"/>
      <c r="I256" s="339"/>
      <c r="J256" s="339"/>
      <c r="K256" s="339"/>
      <c r="L256" s="339"/>
      <c r="M256" s="339">
        <v>97.3</v>
      </c>
      <c r="N256" s="339"/>
      <c r="O256" s="339"/>
      <c r="P256" s="339"/>
      <c r="Q256" s="321">
        <v>97.3</v>
      </c>
      <c r="R256" s="321" t="str">
        <f t="shared" si="13"/>
        <v>NO</v>
      </c>
      <c r="S256" s="321" t="str">
        <f t="shared" si="14"/>
        <v>Inviable Sanitariamente</v>
      </c>
      <c r="T256" s="183"/>
    </row>
    <row r="257" spans="1:20" s="180" customFormat="1" ht="32.1" customHeight="1">
      <c r="A257" s="562" t="s">
        <v>147</v>
      </c>
      <c r="B257" s="563" t="s">
        <v>2901</v>
      </c>
      <c r="C257" s="563" t="s">
        <v>2902</v>
      </c>
      <c r="D257" s="304">
        <v>35</v>
      </c>
      <c r="E257" s="339"/>
      <c r="F257" s="339"/>
      <c r="G257" s="339"/>
      <c r="H257" s="339"/>
      <c r="I257" s="339"/>
      <c r="J257" s="339"/>
      <c r="K257" s="339"/>
      <c r="L257" s="339">
        <v>97.3</v>
      </c>
      <c r="M257" s="339"/>
      <c r="N257" s="339"/>
      <c r="O257" s="339"/>
      <c r="P257" s="339"/>
      <c r="Q257" s="321">
        <v>97.3</v>
      </c>
      <c r="R257" s="321" t="str">
        <f t="shared" si="13"/>
        <v>NO</v>
      </c>
      <c r="S257" s="321" t="str">
        <f t="shared" si="14"/>
        <v>Inviable Sanitariamente</v>
      </c>
      <c r="T257" s="183"/>
    </row>
    <row r="258" spans="1:20" s="180" customFormat="1" ht="32.1" customHeight="1">
      <c r="A258" s="562" t="s">
        <v>147</v>
      </c>
      <c r="B258" s="563" t="s">
        <v>2903</v>
      </c>
      <c r="C258" s="563" t="s">
        <v>2904</v>
      </c>
      <c r="D258" s="304">
        <v>25</v>
      </c>
      <c r="E258" s="339"/>
      <c r="F258" s="339"/>
      <c r="G258" s="339"/>
      <c r="H258" s="339"/>
      <c r="I258" s="339"/>
      <c r="J258" s="339"/>
      <c r="K258" s="339">
        <v>97.3</v>
      </c>
      <c r="L258" s="339"/>
      <c r="M258" s="339"/>
      <c r="N258" s="339"/>
      <c r="O258" s="339"/>
      <c r="P258" s="339"/>
      <c r="Q258" s="321">
        <f>AVERAGE(E258:P258)</f>
        <v>97.3</v>
      </c>
      <c r="R258" s="321" t="str">
        <f t="shared" si="13"/>
        <v>NO</v>
      </c>
      <c r="S258" s="321" t="str">
        <f t="shared" si="14"/>
        <v>Inviable Sanitariamente</v>
      </c>
      <c r="T258" s="183"/>
    </row>
    <row r="259" spans="1:20" s="180" customFormat="1" ht="32.1" customHeight="1">
      <c r="A259" s="562" t="s">
        <v>147</v>
      </c>
      <c r="B259" s="563" t="s">
        <v>853</v>
      </c>
      <c r="C259" s="563" t="s">
        <v>2905</v>
      </c>
      <c r="D259" s="304">
        <v>98</v>
      </c>
      <c r="E259" s="339"/>
      <c r="F259" s="339"/>
      <c r="G259" s="339"/>
      <c r="H259" s="339"/>
      <c r="I259" s="339"/>
      <c r="J259" s="339"/>
      <c r="K259" s="339"/>
      <c r="L259" s="339"/>
      <c r="M259" s="339">
        <v>97.3</v>
      </c>
      <c r="N259" s="339"/>
      <c r="O259" s="339"/>
      <c r="P259" s="339"/>
      <c r="Q259" s="321">
        <f>AVERAGE(E259:P259)</f>
        <v>97.3</v>
      </c>
      <c r="R259" s="321" t="str">
        <f t="shared" si="13"/>
        <v>NO</v>
      </c>
      <c r="S259" s="321" t="str">
        <f t="shared" si="14"/>
        <v>Inviable Sanitariamente</v>
      </c>
      <c r="T259" s="183"/>
    </row>
    <row r="260" spans="1:20" s="180" customFormat="1" ht="32.1" customHeight="1">
      <c r="A260" s="562" t="s">
        <v>147</v>
      </c>
      <c r="B260" s="563" t="s">
        <v>1148</v>
      </c>
      <c r="C260" s="563" t="s">
        <v>2906</v>
      </c>
      <c r="D260" s="304">
        <v>41</v>
      </c>
      <c r="E260" s="339"/>
      <c r="F260" s="339"/>
      <c r="G260" s="339"/>
      <c r="H260" s="339"/>
      <c r="I260" s="339"/>
      <c r="J260" s="339"/>
      <c r="K260" s="339">
        <v>97.3</v>
      </c>
      <c r="L260" s="339"/>
      <c r="M260" s="339"/>
      <c r="N260" s="339"/>
      <c r="O260" s="339"/>
      <c r="P260" s="339"/>
      <c r="Q260" s="321">
        <v>97.3</v>
      </c>
      <c r="R260" s="321" t="str">
        <f t="shared" si="13"/>
        <v>NO</v>
      </c>
      <c r="S260" s="321" t="str">
        <f t="shared" si="14"/>
        <v>Inviable Sanitariamente</v>
      </c>
      <c r="T260" s="183"/>
    </row>
    <row r="261" spans="1:20" s="180" customFormat="1" ht="32.1" customHeight="1">
      <c r="A261" s="562" t="s">
        <v>147</v>
      </c>
      <c r="B261" s="563" t="s">
        <v>2907</v>
      </c>
      <c r="C261" s="563" t="s">
        <v>2908</v>
      </c>
      <c r="D261" s="304">
        <v>32</v>
      </c>
      <c r="E261" s="339"/>
      <c r="F261" s="339"/>
      <c r="G261" s="339"/>
      <c r="H261" s="339"/>
      <c r="I261" s="339"/>
      <c r="J261" s="339"/>
      <c r="K261" s="339">
        <v>97.3</v>
      </c>
      <c r="L261" s="339"/>
      <c r="M261" s="339"/>
      <c r="N261" s="339"/>
      <c r="O261" s="339"/>
      <c r="P261" s="339"/>
      <c r="Q261" s="321">
        <f>AVERAGE(E261:P261)</f>
        <v>97.3</v>
      </c>
      <c r="R261" s="321" t="str">
        <f t="shared" si="13"/>
        <v>NO</v>
      </c>
      <c r="S261" s="321" t="str">
        <f t="shared" si="14"/>
        <v>Inviable Sanitariamente</v>
      </c>
      <c r="T261" s="183"/>
    </row>
    <row r="262" spans="1:20" s="180" customFormat="1" ht="32.1" customHeight="1">
      <c r="A262" s="562" t="s">
        <v>147</v>
      </c>
      <c r="B262" s="563" t="s">
        <v>2909</v>
      </c>
      <c r="C262" s="563" t="s">
        <v>2910</v>
      </c>
      <c r="D262" s="304">
        <v>25</v>
      </c>
      <c r="E262" s="339"/>
      <c r="F262" s="339" t="s">
        <v>1539</v>
      </c>
      <c r="G262" s="339"/>
      <c r="H262" s="339"/>
      <c r="I262" s="339"/>
      <c r="J262" s="339"/>
      <c r="K262" s="339"/>
      <c r="L262" s="339"/>
      <c r="M262" s="339">
        <v>97.3</v>
      </c>
      <c r="N262" s="339"/>
      <c r="O262" s="339"/>
      <c r="P262" s="339"/>
      <c r="Q262" s="321">
        <v>97.3</v>
      </c>
      <c r="R262" s="321" t="str">
        <f t="shared" si="13"/>
        <v>NO</v>
      </c>
      <c r="S262" s="321" t="str">
        <f t="shared" si="14"/>
        <v>Inviable Sanitariamente</v>
      </c>
      <c r="T262" s="183"/>
    </row>
    <row r="263" spans="1:20" s="180" customFormat="1" ht="32.1" customHeight="1">
      <c r="A263" s="562" t="s">
        <v>147</v>
      </c>
      <c r="B263" s="563" t="s">
        <v>2911</v>
      </c>
      <c r="C263" s="563" t="s">
        <v>2912</v>
      </c>
      <c r="D263" s="304">
        <v>10</v>
      </c>
      <c r="E263" s="339"/>
      <c r="F263" s="339"/>
      <c r="G263" s="339"/>
      <c r="H263" s="339"/>
      <c r="I263" s="339"/>
      <c r="J263" s="339"/>
      <c r="K263" s="339"/>
      <c r="L263" s="339">
        <v>97.3</v>
      </c>
      <c r="M263" s="339"/>
      <c r="N263" s="339"/>
      <c r="O263" s="339"/>
      <c r="P263" s="339"/>
      <c r="Q263" s="321">
        <f>AVERAGE(E263:P263)</f>
        <v>97.3</v>
      </c>
      <c r="R263" s="321" t="str">
        <f t="shared" si="13"/>
        <v>NO</v>
      </c>
      <c r="S263" s="321" t="str">
        <f t="shared" si="14"/>
        <v>Inviable Sanitariamente</v>
      </c>
      <c r="T263" s="183"/>
    </row>
    <row r="264" spans="1:20" s="180" customFormat="1" ht="32.1" customHeight="1">
      <c r="A264" s="562" t="s">
        <v>147</v>
      </c>
      <c r="B264" s="563" t="s">
        <v>1886</v>
      </c>
      <c r="C264" s="563" t="s">
        <v>2913</v>
      </c>
      <c r="D264" s="304">
        <v>50</v>
      </c>
      <c r="E264" s="339"/>
      <c r="F264" s="339"/>
      <c r="G264" s="339">
        <v>97.3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21">
        <f>AVERAGE(E264:P264)</f>
        <v>97.3</v>
      </c>
      <c r="R264" s="321" t="str">
        <f t="shared" si="13"/>
        <v>NO</v>
      </c>
      <c r="S264" s="321" t="str">
        <f t="shared" si="14"/>
        <v>Inviable Sanitariamente</v>
      </c>
      <c r="T264" s="183"/>
    </row>
    <row r="265" spans="1:20" s="180" customFormat="1" ht="32.1" customHeight="1">
      <c r="A265" s="404" t="s">
        <v>147</v>
      </c>
      <c r="B265" s="302" t="s">
        <v>2914</v>
      </c>
      <c r="C265" s="302" t="s">
        <v>2915</v>
      </c>
      <c r="D265" s="346">
        <v>260</v>
      </c>
      <c r="E265" s="47"/>
      <c r="F265" s="47"/>
      <c r="G265" s="47"/>
      <c r="H265" s="47">
        <v>97.3</v>
      </c>
      <c r="I265" s="47"/>
      <c r="J265" s="47"/>
      <c r="K265" s="47"/>
      <c r="L265" s="47"/>
      <c r="M265" s="47"/>
      <c r="N265" s="47"/>
      <c r="O265" s="47"/>
      <c r="P265" s="47"/>
      <c r="Q265" s="321">
        <v>97.3</v>
      </c>
      <c r="R265" s="321" t="str">
        <f t="shared" si="13"/>
        <v>NO</v>
      </c>
      <c r="S265" s="321" t="str">
        <f t="shared" si="14"/>
        <v>Inviable Sanitariamente</v>
      </c>
      <c r="T265" s="183"/>
    </row>
    <row r="266" spans="1:20" s="180" customFormat="1" ht="32.1" customHeight="1">
      <c r="A266" s="404" t="s">
        <v>147</v>
      </c>
      <c r="B266" s="302" t="s">
        <v>2916</v>
      </c>
      <c r="C266" s="302" t="s">
        <v>2917</v>
      </c>
      <c r="D266" s="399">
        <v>24</v>
      </c>
      <c r="E266" s="47"/>
      <c r="F266" s="47"/>
      <c r="G266" s="47">
        <v>97.3</v>
      </c>
      <c r="H266" s="47" t="s">
        <v>1539</v>
      </c>
      <c r="I266" s="47"/>
      <c r="J266" s="47"/>
      <c r="K266" s="47"/>
      <c r="L266" s="47"/>
      <c r="M266" s="47"/>
      <c r="N266" s="47"/>
      <c r="O266" s="47"/>
      <c r="P266" s="47"/>
      <c r="Q266" s="321">
        <f t="shared" ref="Q266:Q334" si="15">AVERAGE(E266:P266)</f>
        <v>97.3</v>
      </c>
      <c r="R266" s="321" t="str">
        <f t="shared" si="13"/>
        <v>NO</v>
      </c>
      <c r="S266" s="321" t="str">
        <f t="shared" si="14"/>
        <v>Inviable Sanitariamente</v>
      </c>
      <c r="T266" s="183"/>
    </row>
    <row r="267" spans="1:20" s="180" customFormat="1" ht="32.1" customHeight="1">
      <c r="A267" s="404" t="s">
        <v>147</v>
      </c>
      <c r="B267" s="302" t="s">
        <v>2918</v>
      </c>
      <c r="C267" s="302" t="s">
        <v>2919</v>
      </c>
      <c r="D267" s="346">
        <v>10</v>
      </c>
      <c r="E267" s="47"/>
      <c r="F267" s="47"/>
      <c r="G267" s="47"/>
      <c r="H267" s="47"/>
      <c r="I267" s="47">
        <v>97.3</v>
      </c>
      <c r="J267" s="47"/>
      <c r="K267" s="47"/>
      <c r="L267" s="47"/>
      <c r="M267" s="47"/>
      <c r="N267" s="47"/>
      <c r="O267" s="47"/>
      <c r="P267" s="47"/>
      <c r="Q267" s="321">
        <f t="shared" si="15"/>
        <v>97.3</v>
      </c>
      <c r="R267" s="321" t="str">
        <f t="shared" si="13"/>
        <v>NO</v>
      </c>
      <c r="S267" s="321" t="str">
        <f t="shared" si="14"/>
        <v>Inviable Sanitariamente</v>
      </c>
      <c r="T267" s="183"/>
    </row>
    <row r="268" spans="1:20" s="180" customFormat="1" ht="32.1" customHeight="1">
      <c r="A268" s="404" t="s">
        <v>147</v>
      </c>
      <c r="B268" s="302" t="s">
        <v>2920</v>
      </c>
      <c r="C268" s="302" t="s">
        <v>2921</v>
      </c>
      <c r="D268" s="346">
        <v>70</v>
      </c>
      <c r="E268" s="47"/>
      <c r="F268" s="47"/>
      <c r="G268" s="47"/>
      <c r="H268" s="47"/>
      <c r="I268" s="47">
        <v>97.3</v>
      </c>
      <c r="J268" s="47"/>
      <c r="K268" s="47"/>
      <c r="L268" s="47"/>
      <c r="M268" s="47"/>
      <c r="N268" s="47"/>
      <c r="O268" s="47"/>
      <c r="P268" s="47"/>
      <c r="Q268" s="321">
        <f t="shared" si="15"/>
        <v>97.3</v>
      </c>
      <c r="R268" s="321" t="str">
        <f t="shared" si="13"/>
        <v>NO</v>
      </c>
      <c r="S268" s="321" t="str">
        <f t="shared" si="14"/>
        <v>Inviable Sanitariamente</v>
      </c>
      <c r="T268" s="183"/>
    </row>
    <row r="269" spans="1:20" s="180" customFormat="1" ht="32.1" customHeight="1">
      <c r="A269" s="562" t="s">
        <v>147</v>
      </c>
      <c r="B269" s="563" t="s">
        <v>2922</v>
      </c>
      <c r="C269" s="563" t="s">
        <v>2923</v>
      </c>
      <c r="D269" s="304">
        <v>25</v>
      </c>
      <c r="E269" s="339"/>
      <c r="F269" s="339"/>
      <c r="G269" s="339"/>
      <c r="H269" s="339"/>
      <c r="I269" s="339"/>
      <c r="J269" s="339"/>
      <c r="K269" s="339"/>
      <c r="L269" s="339"/>
      <c r="M269" s="339">
        <v>97.3</v>
      </c>
      <c r="N269" s="339"/>
      <c r="O269" s="339"/>
      <c r="P269" s="339"/>
      <c r="Q269" s="321">
        <f t="shared" si="15"/>
        <v>97.3</v>
      </c>
      <c r="R269" s="321" t="str">
        <f t="shared" si="13"/>
        <v>NO</v>
      </c>
      <c r="S269" s="321" t="str">
        <f t="shared" si="14"/>
        <v>Inviable Sanitariamente</v>
      </c>
      <c r="T269" s="183"/>
    </row>
    <row r="270" spans="1:20" s="180" customFormat="1" ht="32.1" customHeight="1">
      <c r="A270" s="562" t="s">
        <v>147</v>
      </c>
      <c r="B270" s="563" t="s">
        <v>2924</v>
      </c>
      <c r="C270" s="563" t="s">
        <v>2925</v>
      </c>
      <c r="D270" s="304">
        <v>160</v>
      </c>
      <c r="E270" s="339"/>
      <c r="F270" s="339"/>
      <c r="G270" s="339">
        <v>97.3</v>
      </c>
      <c r="H270" s="339"/>
      <c r="I270" s="339"/>
      <c r="J270" s="339"/>
      <c r="K270" s="339"/>
      <c r="L270" s="339"/>
      <c r="M270" s="339"/>
      <c r="N270" s="339"/>
      <c r="O270" s="339"/>
      <c r="P270" s="339"/>
      <c r="Q270" s="321">
        <f t="shared" si="15"/>
        <v>97.3</v>
      </c>
      <c r="R270" s="321" t="str">
        <f t="shared" si="13"/>
        <v>NO</v>
      </c>
      <c r="S270" s="321" t="str">
        <f t="shared" si="14"/>
        <v>Inviable Sanitariamente</v>
      </c>
      <c r="T270" s="183"/>
    </row>
    <row r="271" spans="1:20" s="180" customFormat="1" ht="32.1" customHeight="1">
      <c r="A271" s="564" t="s">
        <v>147</v>
      </c>
      <c r="B271" s="563" t="s">
        <v>2926</v>
      </c>
      <c r="C271" s="563" t="s">
        <v>2927</v>
      </c>
      <c r="D271" s="346">
        <v>14</v>
      </c>
      <c r="E271" s="47"/>
      <c r="F271" s="47"/>
      <c r="G271" s="47"/>
      <c r="H271" s="47"/>
      <c r="I271" s="47">
        <v>97.3</v>
      </c>
      <c r="J271" s="47"/>
      <c r="K271" s="47"/>
      <c r="L271" s="47"/>
      <c r="M271" s="47"/>
      <c r="N271" s="47"/>
      <c r="O271" s="47"/>
      <c r="P271" s="47"/>
      <c r="Q271" s="321">
        <f>AVERAGE(E271:P271)</f>
        <v>97.3</v>
      </c>
      <c r="R271" s="321" t="str">
        <f>IF(Q271&lt;5,"SI","NO")</f>
        <v>NO</v>
      </c>
      <c r="S271" s="321" t="str">
        <f>IF(Q271&lt;=5,"Sin Riesgo",IF(Q271 &lt;=14,"Bajo",IF(Q271&lt;=35,"Medio",IF(Q271&lt;=80,"Alto","Inviable Sanitariamente"))))</f>
        <v>Inviable Sanitariamente</v>
      </c>
      <c r="T271" s="183"/>
    </row>
    <row r="272" spans="1:20" s="180" customFormat="1" ht="32.1" customHeight="1">
      <c r="A272" s="562" t="s">
        <v>147</v>
      </c>
      <c r="B272" s="563" t="s">
        <v>4002</v>
      </c>
      <c r="C272" s="563" t="s">
        <v>4003</v>
      </c>
      <c r="D272" s="304">
        <v>42</v>
      </c>
      <c r="E272" s="531"/>
      <c r="F272" s="339"/>
      <c r="G272" s="339"/>
      <c r="H272" s="339"/>
      <c r="I272" s="339"/>
      <c r="J272" s="339"/>
      <c r="K272" s="339">
        <v>97.3</v>
      </c>
      <c r="L272" s="339"/>
      <c r="M272" s="339"/>
      <c r="N272" s="339"/>
      <c r="O272" s="339"/>
      <c r="P272" s="339"/>
      <c r="Q272" s="321">
        <f>AVERAGE(E272:P272)</f>
        <v>97.3</v>
      </c>
      <c r="R272" s="321" t="str">
        <f>IF(Q272&lt;5,"SI","NO")</f>
        <v>NO</v>
      </c>
      <c r="S272" s="321" t="str">
        <f>IF(Q272&lt;=5,"Sin Riesgo",IF(Q272 &lt;=14,"Bajo",IF(Q272&lt;=35,"Medio",IF(Q272&lt;=80,"Alto","Inviable Sanitariamente"))))</f>
        <v>Inviable Sanitariamente</v>
      </c>
      <c r="T272" s="183"/>
    </row>
    <row r="273" spans="1:20" s="180" customFormat="1" ht="32.1" customHeight="1">
      <c r="A273" s="564" t="s">
        <v>147</v>
      </c>
      <c r="B273" s="563" t="s">
        <v>4004</v>
      </c>
      <c r="C273" s="563" t="s">
        <v>4005</v>
      </c>
      <c r="D273" s="346">
        <v>49</v>
      </c>
      <c r="E273" s="528"/>
      <c r="F273" s="407"/>
      <c r="G273" s="407">
        <v>97.3</v>
      </c>
      <c r="H273" s="407"/>
      <c r="I273" s="407"/>
      <c r="J273" s="407"/>
      <c r="K273" s="407"/>
      <c r="L273" s="407"/>
      <c r="M273" s="407"/>
      <c r="N273" s="407"/>
      <c r="O273" s="407"/>
      <c r="P273" s="407"/>
      <c r="Q273" s="321">
        <f t="shared" si="15"/>
        <v>97.3</v>
      </c>
      <c r="R273" s="321" t="str">
        <f t="shared" si="13"/>
        <v>NO</v>
      </c>
      <c r="S273" s="321" t="str">
        <f t="shared" si="14"/>
        <v>Inviable Sanitariamente</v>
      </c>
      <c r="T273" s="183"/>
    </row>
    <row r="274" spans="1:20" s="180" customFormat="1" ht="32.1" customHeight="1">
      <c r="A274" s="562" t="s">
        <v>147</v>
      </c>
      <c r="B274" s="563" t="s">
        <v>4360</v>
      </c>
      <c r="C274" s="563" t="s">
        <v>4005</v>
      </c>
      <c r="D274" s="346">
        <v>30</v>
      </c>
      <c r="E274" s="528"/>
      <c r="F274" s="407"/>
      <c r="G274" s="407">
        <v>97.3</v>
      </c>
      <c r="H274" s="407"/>
      <c r="I274" s="407"/>
      <c r="J274" s="407"/>
      <c r="K274" s="407"/>
      <c r="L274" s="407"/>
      <c r="M274" s="407"/>
      <c r="N274" s="407"/>
      <c r="O274" s="407"/>
      <c r="P274" s="407"/>
      <c r="Q274" s="424">
        <f t="shared" si="15"/>
        <v>97.3</v>
      </c>
      <c r="R274" s="433" t="str">
        <f t="shared" si="13"/>
        <v>NO</v>
      </c>
      <c r="S274" s="434" t="str">
        <f>IF(Q274&lt;5,"Sin Riesgo",IF(Q274 &lt;=14,"Bajo",IF(Q274&lt;=35,"Medio",IF(Q274&lt;=80,"Alto","Inviable Sanitariamente"))))</f>
        <v>Inviable Sanitariamente</v>
      </c>
      <c r="T274" s="183"/>
    </row>
    <row r="275" spans="1:20" s="180" customFormat="1" ht="32.1" customHeight="1">
      <c r="A275" s="404" t="s">
        <v>148</v>
      </c>
      <c r="B275" s="302" t="s">
        <v>2928</v>
      </c>
      <c r="C275" s="302" t="s">
        <v>2929</v>
      </c>
      <c r="D275" s="346">
        <v>150</v>
      </c>
      <c r="E275" s="469"/>
      <c r="F275" s="47"/>
      <c r="G275" s="47"/>
      <c r="H275" s="47"/>
      <c r="I275" s="47"/>
      <c r="J275" s="47"/>
      <c r="K275" s="47"/>
      <c r="L275" s="47"/>
      <c r="M275" s="47"/>
      <c r="N275" s="47">
        <v>97.3</v>
      </c>
      <c r="O275" s="47"/>
      <c r="P275" s="47"/>
      <c r="Q275" s="321">
        <f t="shared" si="15"/>
        <v>97.3</v>
      </c>
      <c r="R275" s="321" t="str">
        <f t="shared" si="13"/>
        <v>NO</v>
      </c>
      <c r="S275" s="321" t="str">
        <f t="shared" si="14"/>
        <v>Inviable Sanitariamente</v>
      </c>
      <c r="T275" s="183"/>
    </row>
    <row r="276" spans="1:20" s="180" customFormat="1" ht="32.1" customHeight="1">
      <c r="A276" s="404" t="s">
        <v>148</v>
      </c>
      <c r="B276" s="302" t="s">
        <v>2930</v>
      </c>
      <c r="C276" s="302" t="s">
        <v>2931</v>
      </c>
      <c r="D276" s="346">
        <v>340</v>
      </c>
      <c r="E276" s="47"/>
      <c r="F276" s="47"/>
      <c r="G276" s="47"/>
      <c r="H276" s="47"/>
      <c r="I276" s="47"/>
      <c r="J276" s="47"/>
      <c r="K276" s="47"/>
      <c r="L276" s="47">
        <v>0</v>
      </c>
      <c r="M276" s="47"/>
      <c r="N276" s="47"/>
      <c r="O276" s="47"/>
      <c r="P276" s="47"/>
      <c r="Q276" s="321">
        <f t="shared" si="15"/>
        <v>0</v>
      </c>
      <c r="R276" s="321" t="str">
        <f t="shared" si="13"/>
        <v>SI</v>
      </c>
      <c r="S276" s="321" t="str">
        <f t="shared" si="14"/>
        <v>Sin Riesgo</v>
      </c>
      <c r="T276" s="183"/>
    </row>
    <row r="277" spans="1:20" s="180" customFormat="1" ht="32.1" customHeight="1">
      <c r="A277" s="404" t="s">
        <v>148</v>
      </c>
      <c r="B277" s="302" t="s">
        <v>2932</v>
      </c>
      <c r="C277" s="302" t="s">
        <v>2933</v>
      </c>
      <c r="D277" s="346">
        <v>277</v>
      </c>
      <c r="E277" s="47"/>
      <c r="F277" s="47"/>
      <c r="G277" s="47"/>
      <c r="H277" s="47"/>
      <c r="I277" s="47"/>
      <c r="J277" s="47"/>
      <c r="K277" s="47"/>
      <c r="L277" s="47">
        <v>70.8</v>
      </c>
      <c r="M277" s="47"/>
      <c r="N277" s="47"/>
      <c r="O277" s="47"/>
      <c r="P277" s="47"/>
      <c r="Q277" s="321">
        <f t="shared" si="15"/>
        <v>70.8</v>
      </c>
      <c r="R277" s="321" t="str">
        <f t="shared" si="13"/>
        <v>NO</v>
      </c>
      <c r="S277" s="321" t="str">
        <f t="shared" si="14"/>
        <v>Alto</v>
      </c>
      <c r="T277" s="183"/>
    </row>
    <row r="278" spans="1:20" s="180" customFormat="1" ht="32.1" customHeight="1">
      <c r="A278" s="404" t="s">
        <v>148</v>
      </c>
      <c r="B278" s="302" t="s">
        <v>2934</v>
      </c>
      <c r="C278" s="302" t="s">
        <v>2935</v>
      </c>
      <c r="D278" s="346">
        <v>330</v>
      </c>
      <c r="E278" s="47"/>
      <c r="F278" s="47"/>
      <c r="G278" s="47"/>
      <c r="H278" s="47"/>
      <c r="I278" s="47"/>
      <c r="J278" s="47"/>
      <c r="K278" s="47"/>
      <c r="L278" s="47">
        <v>97.3</v>
      </c>
      <c r="M278" s="47"/>
      <c r="N278" s="47"/>
      <c r="O278" s="47"/>
      <c r="P278" s="47"/>
      <c r="Q278" s="321">
        <f t="shared" si="15"/>
        <v>97.3</v>
      </c>
      <c r="R278" s="321" t="str">
        <f t="shared" si="13"/>
        <v>NO</v>
      </c>
      <c r="S278" s="321" t="str">
        <f t="shared" si="14"/>
        <v>Inviable Sanitariamente</v>
      </c>
      <c r="T278" s="183"/>
    </row>
    <row r="279" spans="1:20" s="180" customFormat="1" ht="32.1" customHeight="1">
      <c r="A279" s="404" t="s">
        <v>148</v>
      </c>
      <c r="B279" s="302" t="s">
        <v>2128</v>
      </c>
      <c r="C279" s="302" t="s">
        <v>2936</v>
      </c>
      <c r="D279" s="346">
        <v>65</v>
      </c>
      <c r="E279" s="47"/>
      <c r="F279" s="47"/>
      <c r="G279" s="47"/>
      <c r="H279" s="47"/>
      <c r="I279" s="47"/>
      <c r="J279" s="47"/>
      <c r="K279" s="47"/>
      <c r="L279" s="47"/>
      <c r="M279" s="47">
        <v>97.3</v>
      </c>
      <c r="N279" s="47"/>
      <c r="O279" s="47"/>
      <c r="P279" s="47"/>
      <c r="Q279" s="321">
        <f t="shared" si="15"/>
        <v>97.3</v>
      </c>
      <c r="R279" s="321" t="str">
        <f t="shared" si="13"/>
        <v>NO</v>
      </c>
      <c r="S279" s="321" t="str">
        <f t="shared" si="14"/>
        <v>Inviable Sanitariamente</v>
      </c>
      <c r="T279" s="183"/>
    </row>
    <row r="280" spans="1:20" s="180" customFormat="1" ht="32.1" customHeight="1">
      <c r="A280" s="562" t="s">
        <v>148</v>
      </c>
      <c r="B280" s="563" t="s">
        <v>2800</v>
      </c>
      <c r="C280" s="563" t="s">
        <v>2937</v>
      </c>
      <c r="D280" s="304">
        <v>35</v>
      </c>
      <c r="E280" s="339"/>
      <c r="F280" s="339"/>
      <c r="G280" s="339"/>
      <c r="H280" s="339"/>
      <c r="I280" s="339"/>
      <c r="J280" s="339"/>
      <c r="K280" s="339"/>
      <c r="L280" s="339"/>
      <c r="M280" s="339"/>
      <c r="N280" s="339"/>
      <c r="O280" s="339"/>
      <c r="P280" s="339"/>
      <c r="Q280" s="321"/>
      <c r="R280" s="321"/>
      <c r="S280" s="321"/>
      <c r="T280" s="183"/>
    </row>
    <row r="281" spans="1:20" s="180" customFormat="1" ht="32.1" customHeight="1">
      <c r="A281" s="562" t="s">
        <v>148</v>
      </c>
      <c r="B281" s="563" t="s">
        <v>2662</v>
      </c>
      <c r="C281" s="563" t="s">
        <v>2938</v>
      </c>
      <c r="D281" s="304">
        <v>38</v>
      </c>
      <c r="E281" s="339"/>
      <c r="F281" s="339"/>
      <c r="G281" s="339"/>
      <c r="H281" s="339"/>
      <c r="I281" s="339"/>
      <c r="J281" s="339"/>
      <c r="K281" s="339"/>
      <c r="L281" s="339"/>
      <c r="M281" s="339"/>
      <c r="N281" s="339"/>
      <c r="O281" s="339"/>
      <c r="P281" s="339"/>
      <c r="Q281" s="321"/>
      <c r="R281" s="321"/>
      <c r="S281" s="321"/>
      <c r="T281" s="183"/>
    </row>
    <row r="282" spans="1:20" s="180" customFormat="1" ht="32.1" customHeight="1">
      <c r="A282" s="564" t="s">
        <v>148</v>
      </c>
      <c r="B282" s="563" t="s">
        <v>2939</v>
      </c>
      <c r="C282" s="563" t="s">
        <v>2940</v>
      </c>
      <c r="D282" s="399">
        <v>112</v>
      </c>
      <c r="E282" s="47"/>
      <c r="F282" s="47"/>
      <c r="G282" s="47"/>
      <c r="H282" s="47"/>
      <c r="I282" s="47"/>
      <c r="J282" s="47"/>
      <c r="K282" s="47"/>
      <c r="L282" s="47"/>
      <c r="M282" s="47">
        <v>97.3</v>
      </c>
      <c r="N282" s="47"/>
      <c r="O282" s="47"/>
      <c r="P282" s="47"/>
      <c r="Q282" s="321">
        <f>AVERAGE(E282:P282)</f>
        <v>97.3</v>
      </c>
      <c r="R282" s="321" t="str">
        <f>IF(Q282&lt;5,"SI","NO")</f>
        <v>NO</v>
      </c>
      <c r="S282" s="321" t="str">
        <f>IF(Q282&lt;=5,"Sin Riesgo",IF(Q282 &lt;=14,"Bajo",IF(Q282&lt;=35,"Medio",IF(Q282&lt;=80,"Alto","Inviable Sanitariamente"))))</f>
        <v>Inviable Sanitariamente</v>
      </c>
      <c r="T282" s="183"/>
    </row>
    <row r="283" spans="1:20" s="180" customFormat="1" ht="32.1" customHeight="1">
      <c r="A283" s="562" t="s">
        <v>148</v>
      </c>
      <c r="B283" s="563" t="s">
        <v>1624</v>
      </c>
      <c r="C283" s="563" t="s">
        <v>4006</v>
      </c>
      <c r="D283" s="304">
        <v>48</v>
      </c>
      <c r="E283" s="339"/>
      <c r="F283" s="339"/>
      <c r="G283" s="339"/>
      <c r="H283" s="339">
        <v>0</v>
      </c>
      <c r="I283" s="339"/>
      <c r="J283" s="339"/>
      <c r="K283" s="339"/>
      <c r="L283" s="339"/>
      <c r="M283" s="339"/>
      <c r="N283" s="339">
        <v>97.4</v>
      </c>
      <c r="O283" s="339"/>
      <c r="P283" s="339"/>
      <c r="Q283" s="321">
        <f t="shared" si="15"/>
        <v>48.7</v>
      </c>
      <c r="R283" s="321" t="str">
        <f t="shared" si="13"/>
        <v>NO</v>
      </c>
      <c r="S283" s="321" t="str">
        <f t="shared" si="14"/>
        <v>Alto</v>
      </c>
      <c r="T283" s="183"/>
    </row>
    <row r="284" spans="1:20" s="180" customFormat="1" ht="32.1" customHeight="1">
      <c r="A284" s="562" t="s">
        <v>148</v>
      </c>
      <c r="B284" s="563" t="s">
        <v>1</v>
      </c>
      <c r="C284" s="563" t="s">
        <v>2941</v>
      </c>
      <c r="D284" s="304">
        <v>180</v>
      </c>
      <c r="E284" s="339"/>
      <c r="F284" s="339"/>
      <c r="G284" s="339"/>
      <c r="H284" s="339"/>
      <c r="I284" s="339"/>
      <c r="J284" s="339"/>
      <c r="K284" s="339"/>
      <c r="L284" s="339"/>
      <c r="M284" s="339"/>
      <c r="N284" s="339"/>
      <c r="O284" s="339"/>
      <c r="P284" s="339"/>
      <c r="Q284" s="321"/>
      <c r="R284" s="321"/>
      <c r="S284" s="321"/>
      <c r="T284" s="183"/>
    </row>
    <row r="285" spans="1:20" s="180" customFormat="1" ht="32.1" customHeight="1">
      <c r="A285" s="404" t="s">
        <v>148</v>
      </c>
      <c r="B285" s="302" t="s">
        <v>2942</v>
      </c>
      <c r="C285" s="302" t="s">
        <v>2943</v>
      </c>
      <c r="D285" s="396">
        <v>204</v>
      </c>
      <c r="E285" s="47"/>
      <c r="F285" s="47"/>
      <c r="G285" s="47"/>
      <c r="H285" s="47"/>
      <c r="I285" s="47"/>
      <c r="J285" s="47"/>
      <c r="K285" s="47"/>
      <c r="L285" s="47"/>
      <c r="M285" s="47">
        <v>97.3</v>
      </c>
      <c r="N285" s="47"/>
      <c r="O285" s="47"/>
      <c r="P285" s="47"/>
      <c r="Q285" s="321">
        <f t="shared" si="15"/>
        <v>97.3</v>
      </c>
      <c r="R285" s="321" t="str">
        <f t="shared" si="13"/>
        <v>NO</v>
      </c>
      <c r="S285" s="321" t="str">
        <f t="shared" si="14"/>
        <v>Inviable Sanitariamente</v>
      </c>
      <c r="T285" s="183"/>
    </row>
    <row r="286" spans="1:20" s="180" customFormat="1" ht="32.1" customHeight="1">
      <c r="A286" s="404" t="s">
        <v>148</v>
      </c>
      <c r="B286" s="302" t="s">
        <v>2944</v>
      </c>
      <c r="C286" s="302" t="s">
        <v>2945</v>
      </c>
      <c r="D286" s="399">
        <v>51</v>
      </c>
      <c r="E286" s="47"/>
      <c r="F286" s="47"/>
      <c r="G286" s="47"/>
      <c r="H286" s="47"/>
      <c r="I286" s="47"/>
      <c r="J286" s="47"/>
      <c r="K286" s="47"/>
      <c r="L286" s="47"/>
      <c r="M286" s="47"/>
      <c r="N286" s="47">
        <v>97.3</v>
      </c>
      <c r="O286" s="47"/>
      <c r="P286" s="47"/>
      <c r="Q286" s="321">
        <f t="shared" si="15"/>
        <v>97.3</v>
      </c>
      <c r="R286" s="321" t="str">
        <f t="shared" si="13"/>
        <v>NO</v>
      </c>
      <c r="S286" s="321" t="str">
        <f t="shared" si="14"/>
        <v>Inviable Sanitariamente</v>
      </c>
      <c r="T286" s="183"/>
    </row>
    <row r="287" spans="1:20" s="180" customFormat="1" ht="32.1" customHeight="1">
      <c r="A287" s="404" t="s">
        <v>148</v>
      </c>
      <c r="B287" s="302" t="s">
        <v>2946</v>
      </c>
      <c r="C287" s="302" t="s">
        <v>2947</v>
      </c>
      <c r="D287" s="346">
        <v>42</v>
      </c>
      <c r="E287" s="47"/>
      <c r="F287" s="47"/>
      <c r="G287" s="47"/>
      <c r="H287" s="47"/>
      <c r="I287" s="47"/>
      <c r="J287" s="47"/>
      <c r="K287" s="47"/>
      <c r="L287" s="47"/>
      <c r="M287" s="47">
        <v>97.3</v>
      </c>
      <c r="N287" s="47"/>
      <c r="O287" s="47"/>
      <c r="P287" s="47"/>
      <c r="Q287" s="321">
        <f t="shared" si="15"/>
        <v>97.3</v>
      </c>
      <c r="R287" s="321" t="str">
        <f t="shared" si="13"/>
        <v>NO</v>
      </c>
      <c r="S287" s="321" t="str">
        <f t="shared" si="14"/>
        <v>Inviable Sanitariamente</v>
      </c>
      <c r="T287" s="183"/>
    </row>
    <row r="288" spans="1:20" s="180" customFormat="1" ht="32.1" customHeight="1">
      <c r="A288" s="301" t="s">
        <v>148</v>
      </c>
      <c r="B288" s="302" t="s">
        <v>1382</v>
      </c>
      <c r="C288" s="302" t="s">
        <v>4361</v>
      </c>
      <c r="D288" s="346">
        <v>277</v>
      </c>
      <c r="E288" s="47"/>
      <c r="F288" s="47"/>
      <c r="G288" s="47"/>
      <c r="H288" s="47"/>
      <c r="I288" s="47"/>
      <c r="J288" s="47"/>
      <c r="K288" s="47"/>
      <c r="L288" s="47">
        <v>97.3</v>
      </c>
      <c r="M288" s="47"/>
      <c r="N288" s="47"/>
      <c r="O288" s="47"/>
      <c r="P288" s="47"/>
      <c r="Q288" s="314">
        <f t="shared" si="15"/>
        <v>97.3</v>
      </c>
      <c r="R288" s="315" t="str">
        <f t="shared" si="13"/>
        <v>NO</v>
      </c>
      <c r="S288" s="316" t="str">
        <f>IF(Q288&lt;5,"Sin Riesgo",IF(Q288 &lt;=14,"Bajo",IF(Q288&lt;=35,"Medio",IF(Q288&lt;=80,"Alto","Inviable Sanitariamente"))))</f>
        <v>Inviable Sanitariamente</v>
      </c>
      <c r="T288" s="183"/>
    </row>
    <row r="289" spans="1:20" s="180" customFormat="1" ht="32.1" customHeight="1">
      <c r="A289" s="301" t="s">
        <v>148</v>
      </c>
      <c r="B289" s="302" t="s">
        <v>4362</v>
      </c>
      <c r="C289" s="302" t="s">
        <v>4363</v>
      </c>
      <c r="D289" s="346">
        <v>56</v>
      </c>
      <c r="E289" s="47"/>
      <c r="F289" s="47"/>
      <c r="G289" s="47"/>
      <c r="H289" s="47"/>
      <c r="I289" s="47"/>
      <c r="J289" s="47"/>
      <c r="K289" s="47"/>
      <c r="L289" s="47">
        <v>97.3</v>
      </c>
      <c r="M289" s="47"/>
      <c r="N289" s="47"/>
      <c r="O289" s="47"/>
      <c r="P289" s="47"/>
      <c r="Q289" s="314">
        <f t="shared" si="15"/>
        <v>97.3</v>
      </c>
      <c r="R289" s="315" t="str">
        <f t="shared" si="13"/>
        <v>NO</v>
      </c>
      <c r="S289" s="316" t="str">
        <f>IF(Q289&lt;5,"Sin Riesgo",IF(Q289 &lt;=14,"Bajo",IF(Q289&lt;=35,"Medio",IF(Q289&lt;=80,"Alto","Inviable Sanitariamente"))))</f>
        <v>Inviable Sanitariamente</v>
      </c>
      <c r="T289" s="183"/>
    </row>
    <row r="290" spans="1:20" s="180" customFormat="1" ht="32.1" customHeight="1">
      <c r="A290" s="301" t="s">
        <v>148</v>
      </c>
      <c r="B290" s="302" t="s">
        <v>2972</v>
      </c>
      <c r="C290" s="302" t="s">
        <v>4364</v>
      </c>
      <c r="D290" s="346">
        <v>340</v>
      </c>
      <c r="E290" s="47"/>
      <c r="F290" s="47"/>
      <c r="G290" s="47"/>
      <c r="H290" s="47"/>
      <c r="I290" s="47"/>
      <c r="J290" s="47"/>
      <c r="K290" s="47"/>
      <c r="L290" s="47">
        <v>0</v>
      </c>
      <c r="M290" s="47"/>
      <c r="N290" s="47"/>
      <c r="O290" s="47"/>
      <c r="P290" s="47"/>
      <c r="Q290" s="314">
        <f t="shared" si="15"/>
        <v>0</v>
      </c>
      <c r="R290" s="315" t="str">
        <f t="shared" si="13"/>
        <v>SI</v>
      </c>
      <c r="S290" s="316" t="str">
        <f>IF(Q290&lt;5,"Sin Riesgo",IF(Q290 &lt;=14,"Bajo",IF(Q290&lt;=35,"Medio",IF(Q290&lt;=80,"Alto","Inviable Sanitariamente"))))</f>
        <v>Sin Riesgo</v>
      </c>
      <c r="T290" s="183"/>
    </row>
    <row r="291" spans="1:20" s="180" customFormat="1" ht="32.1" customHeight="1">
      <c r="A291" s="301" t="s">
        <v>148</v>
      </c>
      <c r="B291" s="319" t="s">
        <v>4365</v>
      </c>
      <c r="C291" s="319" t="s">
        <v>4366</v>
      </c>
      <c r="D291" s="437">
        <v>32</v>
      </c>
      <c r="E291" s="47"/>
      <c r="F291" s="47"/>
      <c r="G291" s="47"/>
      <c r="H291" s="47"/>
      <c r="I291" s="47"/>
      <c r="J291" s="47"/>
      <c r="K291" s="47"/>
      <c r="L291" s="47"/>
      <c r="M291" s="47">
        <v>97.3</v>
      </c>
      <c r="N291" s="47"/>
      <c r="O291" s="47"/>
      <c r="P291" s="47"/>
      <c r="Q291" s="431">
        <f t="shared" si="15"/>
        <v>97.3</v>
      </c>
      <c r="R291" s="363" t="str">
        <f t="shared" si="13"/>
        <v>NO</v>
      </c>
      <c r="S291" s="435" t="str">
        <f>IF(Q291&lt;5,"Sin Riesgo",IF(Q291 &lt;=14,"Bajo",IF(Q291&lt;=35,"Medio",IF(Q291&lt;=80,"Alto","Inviable Sanitariamente"))))</f>
        <v>Inviable Sanitariamente</v>
      </c>
      <c r="T291" s="183"/>
    </row>
    <row r="292" spans="1:20" s="180" customFormat="1" ht="32.1" customHeight="1">
      <c r="A292" s="301" t="s">
        <v>148</v>
      </c>
      <c r="B292" s="319" t="s">
        <v>970</v>
      </c>
      <c r="C292" s="319" t="s">
        <v>4367</v>
      </c>
      <c r="D292" s="438">
        <v>15</v>
      </c>
      <c r="E292" s="47"/>
      <c r="F292" s="47"/>
      <c r="G292" s="47"/>
      <c r="H292" s="47"/>
      <c r="I292" s="47"/>
      <c r="J292" s="47"/>
      <c r="K292" s="47"/>
      <c r="L292" s="47"/>
      <c r="M292" s="47">
        <v>97.3</v>
      </c>
      <c r="N292" s="47"/>
      <c r="O292" s="47"/>
      <c r="P292" s="47"/>
      <c r="Q292" s="431">
        <f t="shared" si="15"/>
        <v>97.3</v>
      </c>
      <c r="R292" s="363" t="str">
        <f t="shared" si="13"/>
        <v>NO</v>
      </c>
      <c r="S292" s="435" t="str">
        <f>IF(Q292&lt;5,"Sin Riesgo",IF(Q292 &lt;=14,"Bajo",IF(Q292&lt;=35,"Medio",IF(Q292&lt;=80,"Alto","Inviable Sanitariamente"))))</f>
        <v>Inviable Sanitariamente</v>
      </c>
      <c r="T292" s="183"/>
    </row>
    <row r="293" spans="1:20" s="180" customFormat="1" ht="32.1" customHeight="1">
      <c r="A293" s="404" t="s">
        <v>149</v>
      </c>
      <c r="B293" s="302" t="s">
        <v>2948</v>
      </c>
      <c r="C293" s="302" t="s">
        <v>2949</v>
      </c>
      <c r="D293" s="397">
        <v>20</v>
      </c>
      <c r="E293" s="422"/>
      <c r="F293" s="422"/>
      <c r="G293" s="47">
        <v>97.3</v>
      </c>
      <c r="H293" s="422"/>
      <c r="I293" s="422"/>
      <c r="J293" s="47">
        <v>97.3</v>
      </c>
      <c r="K293" s="422"/>
      <c r="L293" s="422"/>
      <c r="M293" s="422"/>
      <c r="N293" s="422"/>
      <c r="O293" s="422"/>
      <c r="P293" s="422"/>
      <c r="Q293" s="321">
        <f t="shared" si="15"/>
        <v>97.3</v>
      </c>
      <c r="R293" s="321" t="str">
        <f t="shared" si="13"/>
        <v>NO</v>
      </c>
      <c r="S293" s="321" t="str">
        <f t="shared" si="14"/>
        <v>Inviable Sanitariamente</v>
      </c>
      <c r="T293" s="183"/>
    </row>
    <row r="294" spans="1:20" s="180" customFormat="1" ht="32.1" customHeight="1">
      <c r="A294" s="404" t="s">
        <v>149</v>
      </c>
      <c r="B294" s="302" t="s">
        <v>1376</v>
      </c>
      <c r="C294" s="302" t="s">
        <v>4206</v>
      </c>
      <c r="D294" s="396">
        <v>25</v>
      </c>
      <c r="E294" s="413"/>
      <c r="F294" s="47"/>
      <c r="G294" s="47"/>
      <c r="H294" s="47">
        <v>97.3</v>
      </c>
      <c r="I294" s="47"/>
      <c r="J294" s="47"/>
      <c r="K294" s="47"/>
      <c r="L294" s="47"/>
      <c r="M294" s="47"/>
      <c r="N294" s="47">
        <v>97.3</v>
      </c>
      <c r="O294" s="47"/>
      <c r="P294" s="47"/>
      <c r="Q294" s="321">
        <f t="shared" si="15"/>
        <v>97.3</v>
      </c>
      <c r="R294" s="321" t="str">
        <f t="shared" si="13"/>
        <v>NO</v>
      </c>
      <c r="S294" s="321" t="str">
        <f t="shared" si="14"/>
        <v>Inviable Sanitariamente</v>
      </c>
      <c r="T294" s="183"/>
    </row>
    <row r="295" spans="1:20" s="180" customFormat="1" ht="32.1" customHeight="1">
      <c r="A295" s="404" t="s">
        <v>149</v>
      </c>
      <c r="B295" s="302" t="s">
        <v>2950</v>
      </c>
      <c r="C295" s="302" t="s">
        <v>2951</v>
      </c>
      <c r="D295" s="396">
        <v>36</v>
      </c>
      <c r="E295" s="47"/>
      <c r="F295" s="47"/>
      <c r="G295" s="47"/>
      <c r="H295" s="47"/>
      <c r="I295" s="47">
        <v>97.3</v>
      </c>
      <c r="J295" s="47"/>
      <c r="K295" s="47"/>
      <c r="L295" s="47"/>
      <c r="M295" s="47"/>
      <c r="N295" s="47">
        <v>97.3</v>
      </c>
      <c r="O295" s="47"/>
      <c r="P295" s="47"/>
      <c r="Q295" s="321">
        <f t="shared" si="15"/>
        <v>97.3</v>
      </c>
      <c r="R295" s="321" t="str">
        <f t="shared" si="13"/>
        <v>NO</v>
      </c>
      <c r="S295" s="321" t="str">
        <f t="shared" si="14"/>
        <v>Inviable Sanitariamente</v>
      </c>
      <c r="T295" s="183"/>
    </row>
    <row r="296" spans="1:20" s="180" customFormat="1" ht="32.1" customHeight="1">
      <c r="A296" s="404" t="s">
        <v>149</v>
      </c>
      <c r="B296" s="302" t="s">
        <v>2952</v>
      </c>
      <c r="C296" s="302" t="s">
        <v>4207</v>
      </c>
      <c r="D296" s="396">
        <v>110</v>
      </c>
      <c r="E296" s="47"/>
      <c r="F296" s="413"/>
      <c r="G296" s="47">
        <v>97.3</v>
      </c>
      <c r="H296" s="47"/>
      <c r="I296" s="47">
        <v>97.3</v>
      </c>
      <c r="J296" s="47"/>
      <c r="K296" s="47"/>
      <c r="L296" s="47">
        <v>0</v>
      </c>
      <c r="M296" s="47">
        <v>0</v>
      </c>
      <c r="N296" s="47">
        <v>0</v>
      </c>
      <c r="O296" s="47"/>
      <c r="P296" s="47">
        <v>0</v>
      </c>
      <c r="Q296" s="321">
        <f t="shared" si="15"/>
        <v>32.43333333333333</v>
      </c>
      <c r="R296" s="321" t="str">
        <f t="shared" si="13"/>
        <v>NO</v>
      </c>
      <c r="S296" s="321" t="str">
        <f t="shared" si="14"/>
        <v>Medio</v>
      </c>
      <c r="T296" s="183"/>
    </row>
    <row r="297" spans="1:20" s="180" customFormat="1" ht="32.1" customHeight="1">
      <c r="A297" s="404" t="s">
        <v>149</v>
      </c>
      <c r="B297" s="302" t="s">
        <v>2953</v>
      </c>
      <c r="C297" s="302" t="s">
        <v>4208</v>
      </c>
      <c r="D297" s="396">
        <v>460</v>
      </c>
      <c r="E297" s="47"/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321">
        <f t="shared" si="15"/>
        <v>0</v>
      </c>
      <c r="R297" s="321" t="str">
        <f t="shared" si="13"/>
        <v>SI</v>
      </c>
      <c r="S297" s="321" t="str">
        <f t="shared" si="14"/>
        <v>Sin Riesgo</v>
      </c>
      <c r="T297" s="183"/>
    </row>
    <row r="298" spans="1:20" s="180" customFormat="1" ht="32.1" customHeight="1">
      <c r="A298" s="404" t="s">
        <v>149</v>
      </c>
      <c r="B298" s="302" t="s">
        <v>2954</v>
      </c>
      <c r="C298" s="302" t="s">
        <v>2955</v>
      </c>
      <c r="D298" s="396">
        <v>106</v>
      </c>
      <c r="E298" s="47"/>
      <c r="F298" s="47">
        <v>97.3</v>
      </c>
      <c r="G298" s="47"/>
      <c r="H298" s="47">
        <v>97.3</v>
      </c>
      <c r="I298" s="47"/>
      <c r="J298" s="47">
        <v>97.3</v>
      </c>
      <c r="K298" s="47">
        <v>97.3</v>
      </c>
      <c r="L298" s="47">
        <v>97.3</v>
      </c>
      <c r="M298" s="47">
        <v>97.3</v>
      </c>
      <c r="N298" s="47"/>
      <c r="O298" s="47"/>
      <c r="P298" s="47">
        <v>97.3</v>
      </c>
      <c r="Q298" s="321">
        <f t="shared" si="15"/>
        <v>97.299999999999983</v>
      </c>
      <c r="R298" s="321" t="str">
        <f t="shared" si="13"/>
        <v>NO</v>
      </c>
      <c r="S298" s="321" t="str">
        <f t="shared" si="14"/>
        <v>Inviable Sanitariamente</v>
      </c>
      <c r="T298" s="183"/>
    </row>
    <row r="299" spans="1:20" s="180" customFormat="1" ht="32.1" customHeight="1">
      <c r="A299" s="404" t="s">
        <v>149</v>
      </c>
      <c r="B299" s="302" t="s">
        <v>2956</v>
      </c>
      <c r="C299" s="302" t="s">
        <v>2957</v>
      </c>
      <c r="D299" s="396">
        <v>215</v>
      </c>
      <c r="E299" s="47"/>
      <c r="F299" s="432"/>
      <c r="G299" s="47">
        <v>97.3</v>
      </c>
      <c r="H299" s="47"/>
      <c r="I299" s="47">
        <v>97.3</v>
      </c>
      <c r="J299" s="47">
        <v>97.3</v>
      </c>
      <c r="K299" s="47"/>
      <c r="L299" s="47"/>
      <c r="M299" s="47">
        <v>97.3</v>
      </c>
      <c r="N299" s="47">
        <v>97.3</v>
      </c>
      <c r="O299" s="47">
        <v>97.3</v>
      </c>
      <c r="P299" s="47">
        <v>97.3</v>
      </c>
      <c r="Q299" s="321">
        <f t="shared" si="15"/>
        <v>97.299999999999983</v>
      </c>
      <c r="R299" s="321" t="str">
        <f t="shared" si="13"/>
        <v>NO</v>
      </c>
      <c r="S299" s="321" t="str">
        <f t="shared" si="14"/>
        <v>Inviable Sanitariamente</v>
      </c>
      <c r="T299" s="183"/>
    </row>
    <row r="300" spans="1:20" s="180" customFormat="1" ht="32.1" customHeight="1">
      <c r="A300" s="562" t="s">
        <v>149</v>
      </c>
      <c r="B300" s="563" t="s">
        <v>2958</v>
      </c>
      <c r="C300" s="563" t="s">
        <v>4209</v>
      </c>
      <c r="D300" s="304">
        <v>83</v>
      </c>
      <c r="E300" s="339"/>
      <c r="F300" s="339"/>
      <c r="G300" s="339"/>
      <c r="H300" s="339"/>
      <c r="I300" s="339"/>
      <c r="J300" s="339"/>
      <c r="K300" s="339">
        <v>97.3</v>
      </c>
      <c r="L300" s="339"/>
      <c r="M300" s="339"/>
      <c r="N300" s="339"/>
      <c r="O300" s="339"/>
      <c r="P300" s="339"/>
      <c r="Q300" s="321">
        <f t="shared" si="15"/>
        <v>97.3</v>
      </c>
      <c r="R300" s="321" t="str">
        <f t="shared" si="13"/>
        <v>NO</v>
      </c>
      <c r="S300" s="321" t="str">
        <f t="shared" si="14"/>
        <v>Inviable Sanitariamente</v>
      </c>
      <c r="T300" s="183"/>
    </row>
    <row r="301" spans="1:20" s="180" customFormat="1" ht="32.1" customHeight="1">
      <c r="A301" s="404" t="s">
        <v>149</v>
      </c>
      <c r="B301" s="302" t="s">
        <v>2959</v>
      </c>
      <c r="C301" s="302" t="s">
        <v>4210</v>
      </c>
      <c r="D301" s="396">
        <v>22</v>
      </c>
      <c r="E301" s="413"/>
      <c r="F301" s="47">
        <v>97.3</v>
      </c>
      <c r="G301" s="47"/>
      <c r="H301" s="413"/>
      <c r="I301" s="47">
        <v>97.3</v>
      </c>
      <c r="J301" s="47"/>
      <c r="K301" s="47"/>
      <c r="L301" s="47"/>
      <c r="M301" s="47"/>
      <c r="N301" s="47"/>
      <c r="O301" s="47"/>
      <c r="P301" s="47"/>
      <c r="Q301" s="321">
        <f t="shared" si="15"/>
        <v>97.3</v>
      </c>
      <c r="R301" s="321" t="str">
        <f t="shared" si="13"/>
        <v>NO</v>
      </c>
      <c r="S301" s="321" t="str">
        <f t="shared" si="14"/>
        <v>Inviable Sanitariamente</v>
      </c>
      <c r="T301" s="183"/>
    </row>
    <row r="302" spans="1:20" s="180" customFormat="1" ht="32.1" customHeight="1">
      <c r="A302" s="404" t="s">
        <v>149</v>
      </c>
      <c r="B302" s="302" t="s">
        <v>1139</v>
      </c>
      <c r="C302" s="302" t="s">
        <v>2960</v>
      </c>
      <c r="D302" s="396">
        <v>46</v>
      </c>
      <c r="E302" s="47"/>
      <c r="F302" s="47">
        <v>97.3</v>
      </c>
      <c r="G302" s="47"/>
      <c r="H302" s="47"/>
      <c r="I302" s="47">
        <v>97.3</v>
      </c>
      <c r="J302" s="47"/>
      <c r="K302" s="47">
        <v>97.3</v>
      </c>
      <c r="L302" s="47"/>
      <c r="M302" s="47">
        <v>97.3</v>
      </c>
      <c r="N302" s="47"/>
      <c r="O302" s="47"/>
      <c r="P302" s="47"/>
      <c r="Q302" s="321">
        <f t="shared" si="15"/>
        <v>97.3</v>
      </c>
      <c r="R302" s="321" t="str">
        <f t="shared" si="13"/>
        <v>NO</v>
      </c>
      <c r="S302" s="321" t="str">
        <f t="shared" si="14"/>
        <v>Inviable Sanitariamente</v>
      </c>
      <c r="T302" s="183"/>
    </row>
    <row r="303" spans="1:20" s="180" customFormat="1" ht="32.1" customHeight="1">
      <c r="A303" s="404" t="s">
        <v>149</v>
      </c>
      <c r="B303" s="302" t="s">
        <v>2961</v>
      </c>
      <c r="C303" s="302" t="s">
        <v>2962</v>
      </c>
      <c r="D303" s="397">
        <v>15</v>
      </c>
      <c r="E303" s="422"/>
      <c r="F303" s="422"/>
      <c r="G303" s="47">
        <v>97.3</v>
      </c>
      <c r="H303" s="422"/>
      <c r="I303" s="422"/>
      <c r="J303" s="47">
        <v>97.3</v>
      </c>
      <c r="K303" s="422"/>
      <c r="L303" s="47">
        <v>97.3</v>
      </c>
      <c r="M303" s="422"/>
      <c r="N303" s="47"/>
      <c r="O303" s="47"/>
      <c r="P303" s="422"/>
      <c r="Q303" s="321">
        <f t="shared" si="15"/>
        <v>97.3</v>
      </c>
      <c r="R303" s="321" t="str">
        <f t="shared" si="13"/>
        <v>NO</v>
      </c>
      <c r="S303" s="321" t="str">
        <f t="shared" si="14"/>
        <v>Inviable Sanitariamente</v>
      </c>
      <c r="T303" s="183"/>
    </row>
    <row r="304" spans="1:20" s="180" customFormat="1" ht="32.1" customHeight="1">
      <c r="A304" s="404" t="s">
        <v>149</v>
      </c>
      <c r="B304" s="302" t="s">
        <v>2963</v>
      </c>
      <c r="C304" s="302" t="s">
        <v>2964</v>
      </c>
      <c r="D304" s="396">
        <v>200</v>
      </c>
      <c r="E304" s="47"/>
      <c r="F304" s="47"/>
      <c r="G304" s="47"/>
      <c r="H304" s="47">
        <v>97.3</v>
      </c>
      <c r="I304" s="47"/>
      <c r="J304" s="47"/>
      <c r="K304" s="47">
        <v>97.3</v>
      </c>
      <c r="L304" s="47"/>
      <c r="M304" s="47"/>
      <c r="N304" s="47">
        <v>97.3</v>
      </c>
      <c r="O304" s="47"/>
      <c r="P304" s="47"/>
      <c r="Q304" s="321">
        <f t="shared" si="15"/>
        <v>97.3</v>
      </c>
      <c r="R304" s="321" t="str">
        <f t="shared" si="13"/>
        <v>NO</v>
      </c>
      <c r="S304" s="321" t="str">
        <f t="shared" si="14"/>
        <v>Inviable Sanitariamente</v>
      </c>
      <c r="T304" s="183"/>
    </row>
    <row r="305" spans="1:20" s="180" customFormat="1" ht="32.1" customHeight="1">
      <c r="A305" s="404" t="s">
        <v>149</v>
      </c>
      <c r="B305" s="302" t="s">
        <v>8</v>
      </c>
      <c r="C305" s="302" t="s">
        <v>2965</v>
      </c>
      <c r="D305" s="396">
        <v>200</v>
      </c>
      <c r="E305" s="47"/>
      <c r="F305" s="47"/>
      <c r="G305" s="47"/>
      <c r="H305" s="47"/>
      <c r="I305" s="47">
        <v>97.3</v>
      </c>
      <c r="J305" s="47"/>
      <c r="K305" s="47"/>
      <c r="L305" s="47"/>
      <c r="M305" s="47"/>
      <c r="N305" s="47">
        <v>97.3</v>
      </c>
      <c r="O305" s="47"/>
      <c r="P305" s="47"/>
      <c r="Q305" s="321">
        <f t="shared" si="15"/>
        <v>97.3</v>
      </c>
      <c r="R305" s="321" t="str">
        <f t="shared" si="13"/>
        <v>NO</v>
      </c>
      <c r="S305" s="321" t="str">
        <f t="shared" si="14"/>
        <v>Inviable Sanitariamente</v>
      </c>
      <c r="T305" s="183"/>
    </row>
    <row r="306" spans="1:20" s="180" customFormat="1" ht="32.1" customHeight="1">
      <c r="A306" s="562" t="s">
        <v>149</v>
      </c>
      <c r="B306" s="563" t="s">
        <v>2966</v>
      </c>
      <c r="C306" s="563" t="s">
        <v>2967</v>
      </c>
      <c r="D306" s="304">
        <v>200</v>
      </c>
      <c r="E306" s="339"/>
      <c r="F306" s="339"/>
      <c r="G306" s="339"/>
      <c r="H306" s="339"/>
      <c r="I306" s="339"/>
      <c r="J306" s="339">
        <v>97.3</v>
      </c>
      <c r="K306" s="339"/>
      <c r="L306" s="339"/>
      <c r="M306" s="339"/>
      <c r="N306" s="339"/>
      <c r="O306" s="339"/>
      <c r="P306" s="339"/>
      <c r="Q306" s="321">
        <f t="shared" si="15"/>
        <v>97.3</v>
      </c>
      <c r="R306" s="321" t="str">
        <f t="shared" si="13"/>
        <v>NO</v>
      </c>
      <c r="S306" s="321" t="str">
        <f t="shared" si="14"/>
        <v>Inviable Sanitariamente</v>
      </c>
      <c r="T306" s="183"/>
    </row>
    <row r="307" spans="1:20" s="180" customFormat="1" ht="32.1" customHeight="1">
      <c r="A307" s="562" t="s">
        <v>149</v>
      </c>
      <c r="B307" s="563" t="s">
        <v>2968</v>
      </c>
      <c r="C307" s="563" t="s">
        <v>2969</v>
      </c>
      <c r="D307" s="304">
        <v>170</v>
      </c>
      <c r="E307" s="339"/>
      <c r="F307" s="339"/>
      <c r="G307" s="339">
        <v>97.3</v>
      </c>
      <c r="H307" s="339"/>
      <c r="I307" s="339"/>
      <c r="J307" s="339"/>
      <c r="K307" s="339"/>
      <c r="L307" s="339">
        <v>97.3</v>
      </c>
      <c r="M307" s="339"/>
      <c r="N307" s="339">
        <v>97.3</v>
      </c>
      <c r="O307" s="339"/>
      <c r="P307" s="339"/>
      <c r="Q307" s="321">
        <f t="shared" si="15"/>
        <v>97.3</v>
      </c>
      <c r="R307" s="321" t="str">
        <f t="shared" si="13"/>
        <v>NO</v>
      </c>
      <c r="S307" s="321" t="str">
        <f t="shared" si="14"/>
        <v>Inviable Sanitariamente</v>
      </c>
      <c r="T307" s="183"/>
    </row>
    <row r="308" spans="1:20" s="180" customFormat="1" ht="32.1" customHeight="1">
      <c r="A308" s="404" t="s">
        <v>149</v>
      </c>
      <c r="B308" s="302" t="s">
        <v>1220</v>
      </c>
      <c r="C308" s="302" t="s">
        <v>2970</v>
      </c>
      <c r="D308" s="396">
        <v>42</v>
      </c>
      <c r="E308" s="47"/>
      <c r="F308" s="47"/>
      <c r="G308" s="47">
        <v>97.3</v>
      </c>
      <c r="H308" s="47"/>
      <c r="I308" s="47"/>
      <c r="J308" s="47">
        <v>97.3</v>
      </c>
      <c r="K308" s="47"/>
      <c r="L308" s="47"/>
      <c r="M308" s="47">
        <v>97.3</v>
      </c>
      <c r="N308" s="47"/>
      <c r="O308" s="47"/>
      <c r="P308" s="47"/>
      <c r="Q308" s="321">
        <f t="shared" si="15"/>
        <v>97.3</v>
      </c>
      <c r="R308" s="321" t="str">
        <f t="shared" si="13"/>
        <v>NO</v>
      </c>
      <c r="S308" s="321" t="str">
        <f t="shared" si="14"/>
        <v>Inviable Sanitariamente</v>
      </c>
      <c r="T308" s="183"/>
    </row>
    <row r="309" spans="1:20" s="180" customFormat="1" ht="32.1" customHeight="1">
      <c r="A309" s="404" t="s">
        <v>149</v>
      </c>
      <c r="B309" s="302" t="s">
        <v>1559</v>
      </c>
      <c r="C309" s="302" t="s">
        <v>2971</v>
      </c>
      <c r="D309" s="396">
        <v>65</v>
      </c>
      <c r="E309" s="47"/>
      <c r="F309" s="47"/>
      <c r="G309" s="47">
        <v>97.3</v>
      </c>
      <c r="H309" s="47"/>
      <c r="I309" s="47"/>
      <c r="J309" s="47"/>
      <c r="K309" s="47"/>
      <c r="L309" s="47"/>
      <c r="M309" s="47">
        <v>97.3</v>
      </c>
      <c r="N309" s="47"/>
      <c r="O309" s="413"/>
      <c r="P309" s="47"/>
      <c r="Q309" s="321">
        <f t="shared" si="15"/>
        <v>97.3</v>
      </c>
      <c r="R309" s="321" t="str">
        <f t="shared" si="13"/>
        <v>NO</v>
      </c>
      <c r="S309" s="321" t="str">
        <f t="shared" si="14"/>
        <v>Inviable Sanitariamente</v>
      </c>
      <c r="T309" s="183"/>
    </row>
    <row r="310" spans="1:20" s="180" customFormat="1" ht="32.1" customHeight="1">
      <c r="A310" s="404" t="s">
        <v>149</v>
      </c>
      <c r="B310" s="302" t="s">
        <v>2972</v>
      </c>
      <c r="C310" s="302" t="s">
        <v>2973</v>
      </c>
      <c r="D310" s="396">
        <v>15</v>
      </c>
      <c r="E310" s="47"/>
      <c r="F310" s="47"/>
      <c r="G310" s="47"/>
      <c r="H310" s="47">
        <v>97.3</v>
      </c>
      <c r="I310" s="47"/>
      <c r="J310" s="47">
        <v>97.3</v>
      </c>
      <c r="K310" s="47"/>
      <c r="L310" s="47"/>
      <c r="M310" s="47"/>
      <c r="N310" s="47">
        <v>97.3</v>
      </c>
      <c r="O310" s="47"/>
      <c r="P310" s="47"/>
      <c r="Q310" s="321">
        <f t="shared" si="15"/>
        <v>97.3</v>
      </c>
      <c r="R310" s="321" t="str">
        <f t="shared" si="13"/>
        <v>NO</v>
      </c>
      <c r="S310" s="321" t="str">
        <f t="shared" si="14"/>
        <v>Inviable Sanitariamente</v>
      </c>
      <c r="T310" s="183"/>
    </row>
    <row r="311" spans="1:20" s="180" customFormat="1" ht="32.1" customHeight="1">
      <c r="A311" s="404" t="s">
        <v>149</v>
      </c>
      <c r="B311" s="302" t="s">
        <v>2974</v>
      </c>
      <c r="C311" s="302" t="s">
        <v>2975</v>
      </c>
      <c r="D311" s="396">
        <v>50</v>
      </c>
      <c r="E311" s="47"/>
      <c r="F311" s="47"/>
      <c r="G311" s="47">
        <v>97.3</v>
      </c>
      <c r="H311" s="47"/>
      <c r="I311" s="47"/>
      <c r="J311" s="47">
        <v>97.3</v>
      </c>
      <c r="K311" s="47"/>
      <c r="L311" s="47">
        <v>97.3</v>
      </c>
      <c r="M311" s="47"/>
      <c r="N311" s="47"/>
      <c r="O311" s="413"/>
      <c r="P311" s="47"/>
      <c r="Q311" s="321">
        <f t="shared" si="15"/>
        <v>97.3</v>
      </c>
      <c r="R311" s="321" t="str">
        <f t="shared" si="13"/>
        <v>NO</v>
      </c>
      <c r="S311" s="321" t="str">
        <f t="shared" si="14"/>
        <v>Inviable Sanitariamente</v>
      </c>
      <c r="T311" s="183"/>
    </row>
    <row r="312" spans="1:20" s="180" customFormat="1" ht="32.1" customHeight="1">
      <c r="A312" s="404" t="s">
        <v>149</v>
      </c>
      <c r="B312" s="302" t="s">
        <v>949</v>
      </c>
      <c r="C312" s="302" t="s">
        <v>2976</v>
      </c>
      <c r="D312" s="396">
        <v>37</v>
      </c>
      <c r="E312" s="47"/>
      <c r="F312" s="47"/>
      <c r="G312" s="47"/>
      <c r="H312" s="47">
        <v>97.3</v>
      </c>
      <c r="I312" s="47"/>
      <c r="J312" s="47"/>
      <c r="K312" s="47">
        <v>97.3</v>
      </c>
      <c r="L312" s="47"/>
      <c r="M312" s="47">
        <v>97.3</v>
      </c>
      <c r="N312" s="47"/>
      <c r="O312" s="47"/>
      <c r="P312" s="47"/>
      <c r="Q312" s="321">
        <f t="shared" si="15"/>
        <v>97.3</v>
      </c>
      <c r="R312" s="321" t="str">
        <f t="shared" si="13"/>
        <v>NO</v>
      </c>
      <c r="S312" s="321" t="str">
        <f t="shared" si="14"/>
        <v>Inviable Sanitariamente</v>
      </c>
      <c r="T312" s="183"/>
    </row>
    <row r="313" spans="1:20" s="180" customFormat="1" ht="32.1" customHeight="1">
      <c r="A313" s="404" t="s">
        <v>149</v>
      </c>
      <c r="B313" s="302" t="s">
        <v>2977</v>
      </c>
      <c r="C313" s="302" t="s">
        <v>2978</v>
      </c>
      <c r="D313" s="396">
        <v>28</v>
      </c>
      <c r="E313" s="47"/>
      <c r="F313" s="47"/>
      <c r="G313" s="47"/>
      <c r="H313" s="47">
        <v>97.3</v>
      </c>
      <c r="I313" s="47"/>
      <c r="J313" s="47">
        <v>97.3</v>
      </c>
      <c r="K313" s="47"/>
      <c r="L313" s="47">
        <v>97.3</v>
      </c>
      <c r="M313" s="47"/>
      <c r="N313" s="47"/>
      <c r="O313" s="47"/>
      <c r="P313" s="47"/>
      <c r="Q313" s="321">
        <f t="shared" si="15"/>
        <v>97.3</v>
      </c>
      <c r="R313" s="321" t="str">
        <f t="shared" si="13"/>
        <v>NO</v>
      </c>
      <c r="S313" s="321" t="str">
        <f t="shared" si="14"/>
        <v>Inviable Sanitariamente</v>
      </c>
      <c r="T313" s="183"/>
    </row>
    <row r="314" spans="1:20" s="180" customFormat="1" ht="32.1" customHeight="1">
      <c r="A314" s="404" t="s">
        <v>149</v>
      </c>
      <c r="B314" s="302" t="s">
        <v>2979</v>
      </c>
      <c r="C314" s="302" t="s">
        <v>2980</v>
      </c>
      <c r="D314" s="396">
        <v>126</v>
      </c>
      <c r="E314" s="47"/>
      <c r="F314" s="47"/>
      <c r="G314" s="47"/>
      <c r="H314" s="47"/>
      <c r="I314" s="47">
        <v>97.3</v>
      </c>
      <c r="J314" s="47"/>
      <c r="K314" s="47"/>
      <c r="L314" s="47"/>
      <c r="M314" s="47">
        <v>97.3</v>
      </c>
      <c r="N314" s="47"/>
      <c r="O314" s="47"/>
      <c r="P314" s="47"/>
      <c r="Q314" s="321">
        <f t="shared" si="15"/>
        <v>97.3</v>
      </c>
      <c r="R314" s="321" t="str">
        <f t="shared" si="13"/>
        <v>NO</v>
      </c>
      <c r="S314" s="321" t="str">
        <f t="shared" si="14"/>
        <v>Inviable Sanitariamente</v>
      </c>
      <c r="T314" s="183"/>
    </row>
    <row r="315" spans="1:20" s="180" customFormat="1" ht="32.1" customHeight="1">
      <c r="A315" s="404" t="s">
        <v>149</v>
      </c>
      <c r="B315" s="302" t="s">
        <v>2981</v>
      </c>
      <c r="C315" s="302" t="s">
        <v>2982</v>
      </c>
      <c r="D315" s="396">
        <v>56</v>
      </c>
      <c r="E315" s="47"/>
      <c r="F315" s="47">
        <v>97.3</v>
      </c>
      <c r="G315" s="47"/>
      <c r="H315" s="47"/>
      <c r="I315" s="47"/>
      <c r="J315" s="47">
        <v>97.3</v>
      </c>
      <c r="K315" s="47"/>
      <c r="L315" s="47"/>
      <c r="M315" s="47"/>
      <c r="N315" s="47"/>
      <c r="O315" s="47">
        <v>97.3</v>
      </c>
      <c r="P315" s="47"/>
      <c r="Q315" s="321">
        <f t="shared" si="15"/>
        <v>97.3</v>
      </c>
      <c r="R315" s="321" t="str">
        <f t="shared" si="13"/>
        <v>NO</v>
      </c>
      <c r="S315" s="321" t="str">
        <f t="shared" si="14"/>
        <v>Inviable Sanitariamente</v>
      </c>
      <c r="T315" s="183"/>
    </row>
    <row r="316" spans="1:20" s="180" customFormat="1" ht="32.1" customHeight="1">
      <c r="A316" s="404" t="s">
        <v>149</v>
      </c>
      <c r="B316" s="302" t="s">
        <v>2983</v>
      </c>
      <c r="C316" s="302" t="s">
        <v>2984</v>
      </c>
      <c r="D316" s="396">
        <v>20</v>
      </c>
      <c r="E316" s="47"/>
      <c r="F316" s="47">
        <v>97.3</v>
      </c>
      <c r="G316" s="47"/>
      <c r="H316" s="47"/>
      <c r="I316" s="47">
        <v>97.3</v>
      </c>
      <c r="J316" s="47"/>
      <c r="K316" s="47"/>
      <c r="L316" s="47"/>
      <c r="M316" s="47">
        <v>97.3</v>
      </c>
      <c r="N316" s="47"/>
      <c r="O316" s="413"/>
      <c r="P316" s="47"/>
      <c r="Q316" s="321">
        <f t="shared" si="15"/>
        <v>97.3</v>
      </c>
      <c r="R316" s="321" t="str">
        <f t="shared" si="13"/>
        <v>NO</v>
      </c>
      <c r="S316" s="321" t="str">
        <f t="shared" si="14"/>
        <v>Inviable Sanitariamente</v>
      </c>
      <c r="T316" s="183"/>
    </row>
    <row r="317" spans="1:20" s="180" customFormat="1" ht="32.1" customHeight="1">
      <c r="A317" s="404" t="s">
        <v>149</v>
      </c>
      <c r="B317" s="302" t="s">
        <v>2985</v>
      </c>
      <c r="C317" s="302" t="s">
        <v>2986</v>
      </c>
      <c r="D317" s="396">
        <v>83</v>
      </c>
      <c r="E317" s="47"/>
      <c r="F317" s="47"/>
      <c r="G317" s="47">
        <v>97.3</v>
      </c>
      <c r="H317" s="47"/>
      <c r="I317" s="47"/>
      <c r="J317" s="47">
        <v>97.3</v>
      </c>
      <c r="K317" s="47"/>
      <c r="L317" s="47"/>
      <c r="M317" s="47"/>
      <c r="N317" s="47"/>
      <c r="O317" s="47"/>
      <c r="P317" s="47"/>
      <c r="Q317" s="321">
        <f t="shared" si="15"/>
        <v>97.3</v>
      </c>
      <c r="R317" s="321" t="str">
        <f t="shared" si="13"/>
        <v>NO</v>
      </c>
      <c r="S317" s="321" t="str">
        <f t="shared" si="14"/>
        <v>Inviable Sanitariamente</v>
      </c>
      <c r="T317" s="183"/>
    </row>
    <row r="318" spans="1:20" s="180" customFormat="1" ht="32.1" customHeight="1">
      <c r="A318" s="404" t="s">
        <v>149</v>
      </c>
      <c r="B318" s="302" t="s">
        <v>2987</v>
      </c>
      <c r="C318" s="302" t="s">
        <v>2988</v>
      </c>
      <c r="D318" s="396">
        <v>121</v>
      </c>
      <c r="E318" s="47"/>
      <c r="F318" s="47">
        <v>97.3</v>
      </c>
      <c r="G318" s="413"/>
      <c r="H318" s="47"/>
      <c r="I318" s="47">
        <v>97.3</v>
      </c>
      <c r="J318" s="413"/>
      <c r="K318" s="47"/>
      <c r="L318" s="47"/>
      <c r="M318" s="47">
        <v>97.3</v>
      </c>
      <c r="N318" s="47"/>
      <c r="O318" s="47"/>
      <c r="P318" s="47">
        <v>97.3</v>
      </c>
      <c r="Q318" s="321">
        <f t="shared" si="15"/>
        <v>97.3</v>
      </c>
      <c r="R318" s="321" t="str">
        <f t="shared" si="13"/>
        <v>NO</v>
      </c>
      <c r="S318" s="321" t="str">
        <f t="shared" si="14"/>
        <v>Inviable Sanitariamente</v>
      </c>
      <c r="T318" s="183"/>
    </row>
    <row r="319" spans="1:20" s="180" customFormat="1" ht="32.1" customHeight="1">
      <c r="A319" s="404" t="s">
        <v>149</v>
      </c>
      <c r="B319" s="302" t="s">
        <v>2989</v>
      </c>
      <c r="C319" s="302" t="s">
        <v>2990</v>
      </c>
      <c r="D319" s="396">
        <v>52</v>
      </c>
      <c r="E319" s="47"/>
      <c r="F319" s="47">
        <v>97.3</v>
      </c>
      <c r="G319" s="47"/>
      <c r="H319" s="47"/>
      <c r="I319" s="47"/>
      <c r="J319" s="47">
        <v>97.3</v>
      </c>
      <c r="K319" s="47"/>
      <c r="L319" s="47">
        <v>97.3</v>
      </c>
      <c r="M319" s="47"/>
      <c r="N319" s="47"/>
      <c r="O319" s="47"/>
      <c r="P319" s="47"/>
      <c r="Q319" s="321">
        <f t="shared" si="15"/>
        <v>97.3</v>
      </c>
      <c r="R319" s="321" t="str">
        <f t="shared" si="13"/>
        <v>NO</v>
      </c>
      <c r="S319" s="321" t="str">
        <f t="shared" si="14"/>
        <v>Inviable Sanitariamente</v>
      </c>
      <c r="T319" s="183"/>
    </row>
    <row r="320" spans="1:20" s="180" customFormat="1" ht="32.1" customHeight="1">
      <c r="A320" s="404" t="s">
        <v>149</v>
      </c>
      <c r="B320" s="302" t="s">
        <v>2</v>
      </c>
      <c r="C320" s="302" t="s">
        <v>2991</v>
      </c>
      <c r="D320" s="396">
        <v>10</v>
      </c>
      <c r="E320" s="47"/>
      <c r="F320" s="47"/>
      <c r="G320" s="47">
        <v>97.3</v>
      </c>
      <c r="H320" s="47"/>
      <c r="I320" s="47"/>
      <c r="J320" s="47"/>
      <c r="K320" s="47"/>
      <c r="L320" s="47"/>
      <c r="M320" s="47">
        <v>97.3</v>
      </c>
      <c r="N320" s="47"/>
      <c r="O320" s="47"/>
      <c r="P320" s="47"/>
      <c r="Q320" s="321">
        <f t="shared" si="15"/>
        <v>97.3</v>
      </c>
      <c r="R320" s="321" t="str">
        <f t="shared" si="13"/>
        <v>NO</v>
      </c>
      <c r="S320" s="321" t="str">
        <f t="shared" si="14"/>
        <v>Inviable Sanitariamente</v>
      </c>
      <c r="T320" s="183"/>
    </row>
    <row r="321" spans="1:20" s="180" customFormat="1" ht="32.1" customHeight="1">
      <c r="A321" s="404" t="s">
        <v>149</v>
      </c>
      <c r="B321" s="302" t="s">
        <v>48</v>
      </c>
      <c r="C321" s="302" t="s">
        <v>526</v>
      </c>
      <c r="D321" s="396">
        <v>10</v>
      </c>
      <c r="E321" s="47"/>
      <c r="F321" s="47"/>
      <c r="G321" s="47">
        <v>97.3</v>
      </c>
      <c r="H321" s="47"/>
      <c r="I321" s="47"/>
      <c r="J321" s="47"/>
      <c r="K321" s="47"/>
      <c r="L321" s="47">
        <v>97.3</v>
      </c>
      <c r="M321" s="47"/>
      <c r="N321" s="47"/>
      <c r="O321" s="47"/>
      <c r="P321" s="47"/>
      <c r="Q321" s="321">
        <f t="shared" si="15"/>
        <v>97.3</v>
      </c>
      <c r="R321" s="321" t="str">
        <f t="shared" si="13"/>
        <v>NO</v>
      </c>
      <c r="S321" s="321" t="str">
        <f t="shared" si="14"/>
        <v>Inviable Sanitariamente</v>
      </c>
      <c r="T321" s="183"/>
    </row>
    <row r="322" spans="1:20" s="180" customFormat="1" ht="32.1" customHeight="1">
      <c r="A322" s="404" t="s">
        <v>149</v>
      </c>
      <c r="B322" s="302" t="s">
        <v>2992</v>
      </c>
      <c r="C322" s="302" t="s">
        <v>2993</v>
      </c>
      <c r="D322" s="396">
        <v>20</v>
      </c>
      <c r="E322" s="47"/>
      <c r="F322" s="47"/>
      <c r="G322" s="47"/>
      <c r="H322" s="47"/>
      <c r="I322" s="47">
        <v>97.3</v>
      </c>
      <c r="J322" s="47"/>
      <c r="K322" s="47">
        <v>97.3</v>
      </c>
      <c r="L322" s="47"/>
      <c r="M322" s="47"/>
      <c r="N322" s="47">
        <v>97.3</v>
      </c>
      <c r="O322" s="47"/>
      <c r="P322" s="47"/>
      <c r="Q322" s="321">
        <f t="shared" si="15"/>
        <v>97.3</v>
      </c>
      <c r="R322" s="321" t="str">
        <f t="shared" si="13"/>
        <v>NO</v>
      </c>
      <c r="S322" s="321" t="str">
        <f t="shared" si="14"/>
        <v>Inviable Sanitariamente</v>
      </c>
      <c r="T322" s="183"/>
    </row>
    <row r="323" spans="1:20" s="180" customFormat="1" ht="32.1" customHeight="1">
      <c r="A323" s="404" t="s">
        <v>149</v>
      </c>
      <c r="B323" s="302" t="s">
        <v>1693</v>
      </c>
      <c r="C323" s="302" t="s">
        <v>2994</v>
      </c>
      <c r="D323" s="396">
        <v>22</v>
      </c>
      <c r="E323" s="47"/>
      <c r="F323" s="47"/>
      <c r="G323" s="47">
        <v>97.3</v>
      </c>
      <c r="H323" s="47"/>
      <c r="I323" s="47"/>
      <c r="J323" s="47"/>
      <c r="K323" s="47"/>
      <c r="L323" s="47"/>
      <c r="M323" s="47">
        <v>97.3</v>
      </c>
      <c r="N323" s="47"/>
      <c r="O323" s="47"/>
      <c r="P323" s="47"/>
      <c r="Q323" s="321">
        <f t="shared" si="15"/>
        <v>97.3</v>
      </c>
      <c r="R323" s="321" t="str">
        <f t="shared" si="13"/>
        <v>NO</v>
      </c>
      <c r="S323" s="321" t="str">
        <f t="shared" si="14"/>
        <v>Inviable Sanitariamente</v>
      </c>
      <c r="T323" s="183"/>
    </row>
    <row r="324" spans="1:20" s="180" customFormat="1" ht="32.1" customHeight="1">
      <c r="A324" s="404" t="s">
        <v>149</v>
      </c>
      <c r="B324" s="302" t="s">
        <v>2995</v>
      </c>
      <c r="C324" s="302" t="s">
        <v>2996</v>
      </c>
      <c r="D324" s="396">
        <v>72</v>
      </c>
      <c r="E324" s="47"/>
      <c r="F324" s="47">
        <v>97.3</v>
      </c>
      <c r="G324" s="47"/>
      <c r="H324" s="47"/>
      <c r="I324" s="47">
        <v>97.3</v>
      </c>
      <c r="J324" s="47"/>
      <c r="K324" s="47"/>
      <c r="L324" s="47">
        <v>97.3</v>
      </c>
      <c r="M324" s="47"/>
      <c r="N324" s="47"/>
      <c r="O324" s="47"/>
      <c r="P324" s="47"/>
      <c r="Q324" s="321">
        <f t="shared" si="15"/>
        <v>97.3</v>
      </c>
      <c r="R324" s="321" t="str">
        <f t="shared" ref="R324:R392" si="16">IF(Q324&lt;5,"SI","NO")</f>
        <v>NO</v>
      </c>
      <c r="S324" s="321" t="str">
        <f t="shared" si="14"/>
        <v>Inviable Sanitariamente</v>
      </c>
      <c r="T324" s="183"/>
    </row>
    <row r="325" spans="1:20" s="180" customFormat="1" ht="32.1" customHeight="1">
      <c r="A325" s="404" t="s">
        <v>149</v>
      </c>
      <c r="B325" s="302" t="s">
        <v>2997</v>
      </c>
      <c r="C325" s="302" t="s">
        <v>2998</v>
      </c>
      <c r="D325" s="396">
        <v>15</v>
      </c>
      <c r="E325" s="47"/>
      <c r="F325" s="47"/>
      <c r="G325" s="47"/>
      <c r="H325" s="47">
        <v>97.3</v>
      </c>
      <c r="I325" s="47">
        <v>97.3</v>
      </c>
      <c r="J325" s="47">
        <v>97.3</v>
      </c>
      <c r="K325" s="47"/>
      <c r="L325" s="47"/>
      <c r="M325" s="47"/>
      <c r="N325" s="47">
        <v>97.3</v>
      </c>
      <c r="O325" s="47"/>
      <c r="P325" s="47"/>
      <c r="Q325" s="321">
        <f t="shared" si="15"/>
        <v>97.3</v>
      </c>
      <c r="R325" s="321" t="str">
        <f t="shared" si="16"/>
        <v>NO</v>
      </c>
      <c r="S325" s="321" t="str">
        <f t="shared" ref="S325:S393" si="17">IF(Q325&lt;=5,"Sin Riesgo",IF(Q325 &lt;=14,"Bajo",IF(Q325&lt;=35,"Medio",IF(Q325&lt;=80,"Alto","Inviable Sanitariamente"))))</f>
        <v>Inviable Sanitariamente</v>
      </c>
      <c r="T325" s="183"/>
    </row>
    <row r="326" spans="1:20" s="180" customFormat="1" ht="32.1" customHeight="1">
      <c r="A326" s="562" t="s">
        <v>149</v>
      </c>
      <c r="B326" s="563" t="s">
        <v>4211</v>
      </c>
      <c r="C326" s="563" t="s">
        <v>4212</v>
      </c>
      <c r="D326" s="304">
        <v>20</v>
      </c>
      <c r="E326" s="339"/>
      <c r="F326" s="339">
        <v>97.3</v>
      </c>
      <c r="G326" s="339"/>
      <c r="H326" s="339"/>
      <c r="I326" s="339"/>
      <c r="J326" s="339"/>
      <c r="K326" s="339"/>
      <c r="L326" s="339"/>
      <c r="M326" s="339">
        <v>97.3</v>
      </c>
      <c r="N326" s="339"/>
      <c r="O326" s="339"/>
      <c r="P326" s="339"/>
      <c r="Q326" s="321">
        <f>AVERAGE(E326:P326)</f>
        <v>97.3</v>
      </c>
      <c r="R326" s="321" t="str">
        <f t="shared" si="16"/>
        <v>NO</v>
      </c>
      <c r="S326" s="321" t="str">
        <f t="shared" si="17"/>
        <v>Inviable Sanitariamente</v>
      </c>
      <c r="T326" s="183"/>
    </row>
    <row r="327" spans="1:20" s="180" customFormat="1" ht="32.1" customHeight="1">
      <c r="A327" s="562" t="s">
        <v>149</v>
      </c>
      <c r="B327" s="592" t="s">
        <v>4368</v>
      </c>
      <c r="C327" s="593" t="s">
        <v>4369</v>
      </c>
      <c r="D327" s="346">
        <v>65</v>
      </c>
      <c r="E327" s="47"/>
      <c r="F327" s="47">
        <v>97.3</v>
      </c>
      <c r="G327" s="47"/>
      <c r="H327" s="47">
        <v>97.3</v>
      </c>
      <c r="I327" s="47"/>
      <c r="J327" s="47"/>
      <c r="K327" s="47">
        <v>97.3</v>
      </c>
      <c r="L327" s="47"/>
      <c r="M327" s="47"/>
      <c r="N327" s="47">
        <v>97.3</v>
      </c>
      <c r="O327" s="47"/>
      <c r="P327" s="47"/>
      <c r="Q327" s="431">
        <f>AVERAGE(E327:P327)</f>
        <v>97.3</v>
      </c>
      <c r="R327" s="363" t="str">
        <f t="shared" si="16"/>
        <v>NO</v>
      </c>
      <c r="S327" s="435" t="str">
        <f>IF(Q327&lt;5,"Sin Riesgo",IF(Q327 &lt;=14,"Bajo",IF(Q327&lt;=35,"Medio",IF(Q327&lt;=80,"Alto","Inviable Sanitariamente"))))</f>
        <v>Inviable Sanitariamente</v>
      </c>
      <c r="T327" s="183"/>
    </row>
    <row r="328" spans="1:20" s="180" customFormat="1" ht="32.1" customHeight="1">
      <c r="A328" s="562" t="s">
        <v>150</v>
      </c>
      <c r="B328" s="563" t="s">
        <v>69</v>
      </c>
      <c r="C328" s="563" t="s">
        <v>3000</v>
      </c>
      <c r="D328" s="304">
        <v>84</v>
      </c>
      <c r="E328" s="339"/>
      <c r="F328" s="339"/>
      <c r="G328" s="339"/>
      <c r="H328" s="339"/>
      <c r="I328" s="339"/>
      <c r="J328" s="339"/>
      <c r="K328" s="339"/>
      <c r="L328" s="339"/>
      <c r="M328" s="339"/>
      <c r="N328" s="339">
        <v>97.3</v>
      </c>
      <c r="O328" s="339"/>
      <c r="P328" s="339"/>
      <c r="Q328" s="321">
        <f t="shared" si="15"/>
        <v>97.3</v>
      </c>
      <c r="R328" s="321" t="str">
        <f t="shared" si="16"/>
        <v>NO</v>
      </c>
      <c r="S328" s="321" t="str">
        <f t="shared" si="17"/>
        <v>Inviable Sanitariamente</v>
      </c>
      <c r="T328" s="183"/>
    </row>
    <row r="329" spans="1:20" s="180" customFormat="1" ht="32.1" customHeight="1">
      <c r="A329" s="564" t="s">
        <v>150</v>
      </c>
      <c r="B329" s="563" t="s">
        <v>2218</v>
      </c>
      <c r="C329" s="563" t="s">
        <v>3001</v>
      </c>
      <c r="D329" s="396">
        <v>375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>
        <v>97.3</v>
      </c>
      <c r="O329" s="47"/>
      <c r="P329" s="47"/>
      <c r="Q329" s="321">
        <f t="shared" si="15"/>
        <v>97.3</v>
      </c>
      <c r="R329" s="321" t="str">
        <f t="shared" si="16"/>
        <v>NO</v>
      </c>
      <c r="S329" s="321" t="str">
        <f t="shared" si="17"/>
        <v>Inviable Sanitariamente</v>
      </c>
      <c r="T329" s="183"/>
    </row>
    <row r="330" spans="1:20" s="180" customFormat="1" ht="32.1" customHeight="1">
      <c r="A330" s="562" t="s">
        <v>150</v>
      </c>
      <c r="B330" s="563" t="s">
        <v>3002</v>
      </c>
      <c r="C330" s="563" t="s">
        <v>3003</v>
      </c>
      <c r="D330" s="304">
        <v>125</v>
      </c>
      <c r="E330" s="339"/>
      <c r="F330" s="339"/>
      <c r="G330" s="339"/>
      <c r="H330" s="339"/>
      <c r="I330" s="339"/>
      <c r="J330" s="339"/>
      <c r="K330" s="339"/>
      <c r="L330" s="339"/>
      <c r="M330" s="339"/>
      <c r="N330" s="339"/>
      <c r="O330" s="339">
        <v>97.3</v>
      </c>
      <c r="P330" s="339"/>
      <c r="Q330" s="321">
        <f t="shared" si="15"/>
        <v>97.3</v>
      </c>
      <c r="R330" s="321" t="str">
        <f t="shared" si="16"/>
        <v>NO</v>
      </c>
      <c r="S330" s="321" t="str">
        <f t="shared" si="17"/>
        <v>Inviable Sanitariamente</v>
      </c>
      <c r="T330" s="183"/>
    </row>
    <row r="331" spans="1:20" s="180" customFormat="1" ht="32.1" customHeight="1">
      <c r="A331" s="564" t="s">
        <v>150</v>
      </c>
      <c r="B331" s="563" t="s">
        <v>3004</v>
      </c>
      <c r="C331" s="563" t="s">
        <v>3005</v>
      </c>
      <c r="D331" s="396">
        <v>153</v>
      </c>
      <c r="E331" s="47"/>
      <c r="F331" s="47">
        <v>0</v>
      </c>
      <c r="G331" s="47"/>
      <c r="H331" s="47"/>
      <c r="I331" s="47"/>
      <c r="J331" s="47"/>
      <c r="K331" s="47"/>
      <c r="L331" s="47"/>
      <c r="M331" s="47"/>
      <c r="N331" s="47">
        <v>93.3</v>
      </c>
      <c r="O331" s="47"/>
      <c r="P331" s="47"/>
      <c r="Q331" s="321">
        <f t="shared" si="15"/>
        <v>46.65</v>
      </c>
      <c r="R331" s="321" t="str">
        <f t="shared" si="16"/>
        <v>NO</v>
      </c>
      <c r="S331" s="321" t="str">
        <f t="shared" si="17"/>
        <v>Alto</v>
      </c>
      <c r="T331" s="183"/>
    </row>
    <row r="332" spans="1:20" s="180" customFormat="1" ht="32.1" customHeight="1">
      <c r="A332" s="562" t="s">
        <v>150</v>
      </c>
      <c r="B332" s="563" t="s">
        <v>3006</v>
      </c>
      <c r="C332" s="563" t="s">
        <v>3007</v>
      </c>
      <c r="D332" s="304">
        <v>80</v>
      </c>
      <c r="E332" s="339"/>
      <c r="F332" s="339"/>
      <c r="G332" s="339"/>
      <c r="H332" s="339"/>
      <c r="I332" s="339"/>
      <c r="J332" s="339"/>
      <c r="K332" s="339"/>
      <c r="L332" s="339"/>
      <c r="M332" s="339"/>
      <c r="N332" s="339">
        <v>97.3</v>
      </c>
      <c r="O332" s="339"/>
      <c r="P332" s="339"/>
      <c r="Q332" s="321">
        <f t="shared" si="15"/>
        <v>97.3</v>
      </c>
      <c r="R332" s="321" t="str">
        <f t="shared" si="16"/>
        <v>NO</v>
      </c>
      <c r="S332" s="321" t="str">
        <f t="shared" si="17"/>
        <v>Inviable Sanitariamente</v>
      </c>
      <c r="T332" s="183"/>
    </row>
    <row r="333" spans="1:20" s="180" customFormat="1" ht="32.1" customHeight="1">
      <c r="A333" s="562" t="s">
        <v>150</v>
      </c>
      <c r="B333" s="563" t="s">
        <v>3008</v>
      </c>
      <c r="C333" s="563" t="s">
        <v>3009</v>
      </c>
      <c r="D333" s="304">
        <v>270</v>
      </c>
      <c r="E333" s="339">
        <v>0</v>
      </c>
      <c r="F333" s="339">
        <v>0</v>
      </c>
      <c r="G333" s="339">
        <v>0</v>
      </c>
      <c r="H333" s="339">
        <v>0</v>
      </c>
      <c r="I333" s="339">
        <v>0</v>
      </c>
      <c r="J333" s="339">
        <v>6.5</v>
      </c>
      <c r="K333" s="339"/>
      <c r="L333" s="339"/>
      <c r="M333" s="339"/>
      <c r="N333" s="339"/>
      <c r="O333" s="339"/>
      <c r="P333" s="339"/>
      <c r="Q333" s="321">
        <f t="shared" si="15"/>
        <v>1.0833333333333333</v>
      </c>
      <c r="R333" s="321" t="str">
        <f t="shared" si="16"/>
        <v>SI</v>
      </c>
      <c r="S333" s="321" t="str">
        <f t="shared" si="17"/>
        <v>Sin Riesgo</v>
      </c>
      <c r="T333" s="183"/>
    </row>
    <row r="334" spans="1:20" s="180" customFormat="1" ht="32.1" customHeight="1">
      <c r="A334" s="562" t="s">
        <v>150</v>
      </c>
      <c r="B334" s="563" t="s">
        <v>3010</v>
      </c>
      <c r="C334" s="563" t="s">
        <v>3011</v>
      </c>
      <c r="D334" s="304">
        <v>71</v>
      </c>
      <c r="E334" s="339"/>
      <c r="F334" s="339"/>
      <c r="G334" s="339"/>
      <c r="H334" s="339"/>
      <c r="I334" s="339"/>
      <c r="J334" s="339"/>
      <c r="K334" s="339"/>
      <c r="L334" s="339"/>
      <c r="M334" s="339"/>
      <c r="N334" s="339">
        <v>97.3</v>
      </c>
      <c r="O334" s="339"/>
      <c r="P334" s="339"/>
      <c r="Q334" s="321">
        <f t="shared" si="15"/>
        <v>97.3</v>
      </c>
      <c r="R334" s="321" t="str">
        <f t="shared" si="16"/>
        <v>NO</v>
      </c>
      <c r="S334" s="321" t="str">
        <f t="shared" si="17"/>
        <v>Inviable Sanitariamente</v>
      </c>
      <c r="T334" s="183"/>
    </row>
    <row r="335" spans="1:20" s="180" customFormat="1" ht="32.1" customHeight="1">
      <c r="A335" s="562" t="s">
        <v>151</v>
      </c>
      <c r="B335" s="563" t="s">
        <v>3012</v>
      </c>
      <c r="C335" s="563" t="s">
        <v>3921</v>
      </c>
      <c r="D335" s="304">
        <v>20</v>
      </c>
      <c r="E335" s="339"/>
      <c r="F335" s="339"/>
      <c r="G335" s="339"/>
      <c r="H335" s="339"/>
      <c r="I335" s="339"/>
      <c r="J335" s="339"/>
      <c r="K335" s="339"/>
      <c r="L335" s="339"/>
      <c r="M335" s="339"/>
      <c r="N335" s="339"/>
      <c r="O335" s="339"/>
      <c r="P335" s="339"/>
      <c r="Q335" s="321"/>
      <c r="R335" s="321"/>
      <c r="S335" s="321"/>
      <c r="T335" s="183"/>
    </row>
    <row r="336" spans="1:20" s="180" customFormat="1" ht="32.1" customHeight="1">
      <c r="A336" s="562" t="s">
        <v>151</v>
      </c>
      <c r="B336" s="563" t="s">
        <v>3013</v>
      </c>
      <c r="C336" s="563" t="s">
        <v>3922</v>
      </c>
      <c r="D336" s="304">
        <v>18</v>
      </c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21"/>
      <c r="R336" s="321"/>
      <c r="S336" s="321"/>
      <c r="T336" s="183"/>
    </row>
    <row r="337" spans="1:20" s="180" customFormat="1" ht="32.1" customHeight="1">
      <c r="A337" s="562" t="s">
        <v>151</v>
      </c>
      <c r="B337" s="563" t="s">
        <v>3014</v>
      </c>
      <c r="C337" s="563" t="s">
        <v>3923</v>
      </c>
      <c r="D337" s="304">
        <v>20</v>
      </c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21"/>
      <c r="R337" s="321"/>
      <c r="S337" s="321"/>
      <c r="T337" s="183"/>
    </row>
    <row r="338" spans="1:20" s="180" customFormat="1" ht="32.1" customHeight="1">
      <c r="A338" s="562" t="s">
        <v>151</v>
      </c>
      <c r="B338" s="563" t="s">
        <v>3015</v>
      </c>
      <c r="C338" s="563" t="s">
        <v>3924</v>
      </c>
      <c r="D338" s="304">
        <v>27</v>
      </c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21"/>
      <c r="R338" s="321"/>
      <c r="S338" s="321"/>
      <c r="T338" s="183"/>
    </row>
    <row r="339" spans="1:20" s="180" customFormat="1" ht="32.1" customHeight="1">
      <c r="A339" s="562" t="s">
        <v>151</v>
      </c>
      <c r="B339" s="563" t="s">
        <v>3016</v>
      </c>
      <c r="C339" s="563" t="s">
        <v>3925</v>
      </c>
      <c r="D339" s="304">
        <v>32</v>
      </c>
      <c r="E339" s="339"/>
      <c r="F339" s="339"/>
      <c r="G339" s="339"/>
      <c r="H339" s="339"/>
      <c r="I339" s="339"/>
      <c r="J339" s="339"/>
      <c r="K339" s="339"/>
      <c r="L339" s="339"/>
      <c r="M339" s="339"/>
      <c r="N339" s="339"/>
      <c r="O339" s="339"/>
      <c r="P339" s="339"/>
      <c r="Q339" s="321"/>
      <c r="R339" s="321"/>
      <c r="S339" s="321"/>
      <c r="T339" s="183"/>
    </row>
    <row r="340" spans="1:20" s="180" customFormat="1" ht="32.1" customHeight="1">
      <c r="A340" s="562" t="s">
        <v>151</v>
      </c>
      <c r="B340" s="563" t="s">
        <v>3017</v>
      </c>
      <c r="C340" s="563" t="s">
        <v>3926</v>
      </c>
      <c r="D340" s="304">
        <v>28</v>
      </c>
      <c r="E340" s="339"/>
      <c r="F340" s="339"/>
      <c r="G340" s="339"/>
      <c r="H340" s="339"/>
      <c r="I340" s="339"/>
      <c r="J340" s="339"/>
      <c r="K340" s="339"/>
      <c r="L340" s="339"/>
      <c r="M340" s="339"/>
      <c r="N340" s="339"/>
      <c r="O340" s="339"/>
      <c r="P340" s="339"/>
      <c r="Q340" s="321"/>
      <c r="R340" s="321"/>
      <c r="S340" s="321"/>
      <c r="T340" s="183"/>
    </row>
    <row r="341" spans="1:20" s="180" customFormat="1" ht="32.1" customHeight="1">
      <c r="A341" s="404" t="s">
        <v>151</v>
      </c>
      <c r="B341" s="302" t="s">
        <v>3018</v>
      </c>
      <c r="C341" s="302" t="s">
        <v>3927</v>
      </c>
      <c r="D341" s="439">
        <v>157</v>
      </c>
      <c r="E341" s="47"/>
      <c r="F341" s="47">
        <v>97.3</v>
      </c>
      <c r="G341" s="47"/>
      <c r="H341" s="407"/>
      <c r="I341" s="47"/>
      <c r="J341" s="47"/>
      <c r="K341" s="47"/>
      <c r="L341" s="47"/>
      <c r="M341" s="47"/>
      <c r="N341" s="47"/>
      <c r="O341" s="47"/>
      <c r="P341" s="47"/>
      <c r="Q341" s="321">
        <f t="shared" ref="Q341:Q407" si="18">AVERAGE(E341:P341)</f>
        <v>97.3</v>
      </c>
      <c r="R341" s="321" t="str">
        <f t="shared" si="16"/>
        <v>NO</v>
      </c>
      <c r="S341" s="321" t="str">
        <f t="shared" si="17"/>
        <v>Inviable Sanitariamente</v>
      </c>
      <c r="T341" s="183"/>
    </row>
    <row r="342" spans="1:20" s="180" customFormat="1" ht="32.1" customHeight="1">
      <c r="A342" s="562" t="s">
        <v>151</v>
      </c>
      <c r="B342" s="563" t="s">
        <v>90</v>
      </c>
      <c r="C342" s="563" t="s">
        <v>3929</v>
      </c>
      <c r="D342" s="304">
        <v>19</v>
      </c>
      <c r="E342" s="339"/>
      <c r="F342" s="339"/>
      <c r="G342" s="339"/>
      <c r="H342" s="339"/>
      <c r="I342" s="339"/>
      <c r="J342" s="339"/>
      <c r="K342" s="339"/>
      <c r="L342" s="339"/>
      <c r="M342" s="339"/>
      <c r="N342" s="339"/>
      <c r="O342" s="339"/>
      <c r="P342" s="339"/>
      <c r="Q342" s="321"/>
      <c r="R342" s="321"/>
      <c r="S342" s="321"/>
      <c r="T342" s="183"/>
    </row>
    <row r="343" spans="1:20" s="180" customFormat="1" ht="32.1" customHeight="1">
      <c r="A343" s="562" t="s">
        <v>151</v>
      </c>
      <c r="B343" s="563" t="s">
        <v>3019</v>
      </c>
      <c r="C343" s="563" t="s">
        <v>3928</v>
      </c>
      <c r="D343" s="304">
        <v>28</v>
      </c>
      <c r="E343" s="339"/>
      <c r="F343" s="339"/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21"/>
      <c r="R343" s="321"/>
      <c r="S343" s="321"/>
      <c r="T343" s="183"/>
    </row>
    <row r="344" spans="1:20" s="180" customFormat="1" ht="32.1" customHeight="1">
      <c r="A344" s="562" t="s">
        <v>151</v>
      </c>
      <c r="B344" s="563" t="s">
        <v>3020</v>
      </c>
      <c r="C344" s="563" t="s">
        <v>3930</v>
      </c>
      <c r="D344" s="304">
        <v>32</v>
      </c>
      <c r="E344" s="339"/>
      <c r="F344" s="339"/>
      <c r="G344" s="339">
        <v>97.3</v>
      </c>
      <c r="H344" s="339"/>
      <c r="I344" s="339"/>
      <c r="J344" s="339"/>
      <c r="K344" s="339"/>
      <c r="L344" s="339"/>
      <c r="M344" s="339"/>
      <c r="N344" s="339"/>
      <c r="O344" s="339"/>
      <c r="P344" s="339"/>
      <c r="Q344" s="321">
        <f t="shared" si="18"/>
        <v>97.3</v>
      </c>
      <c r="R344" s="321" t="str">
        <f t="shared" si="16"/>
        <v>NO</v>
      </c>
      <c r="S344" s="321" t="str">
        <f t="shared" si="17"/>
        <v>Inviable Sanitariamente</v>
      </c>
      <c r="T344" s="183"/>
    </row>
    <row r="345" spans="1:20" s="180" customFormat="1" ht="32.1" customHeight="1">
      <c r="A345" s="404" t="s">
        <v>151</v>
      </c>
      <c r="B345" s="302" t="s">
        <v>4213</v>
      </c>
      <c r="C345" s="302" t="s">
        <v>3931</v>
      </c>
      <c r="D345" s="439">
        <v>20</v>
      </c>
      <c r="E345" s="47"/>
      <c r="F345" s="47">
        <v>97.3</v>
      </c>
      <c r="G345" s="47"/>
      <c r="H345" s="47"/>
      <c r="I345" s="407"/>
      <c r="J345" s="47"/>
      <c r="K345" s="47"/>
      <c r="L345" s="47"/>
      <c r="M345" s="47"/>
      <c r="N345" s="407"/>
      <c r="O345" s="47"/>
      <c r="P345" s="47"/>
      <c r="Q345" s="321">
        <f t="shared" si="18"/>
        <v>97.3</v>
      </c>
      <c r="R345" s="321" t="str">
        <f t="shared" si="16"/>
        <v>NO</v>
      </c>
      <c r="S345" s="321" t="str">
        <f t="shared" si="17"/>
        <v>Inviable Sanitariamente</v>
      </c>
      <c r="T345" s="183"/>
    </row>
    <row r="346" spans="1:20" s="180" customFormat="1" ht="32.1" customHeight="1">
      <c r="A346" s="562" t="s">
        <v>151</v>
      </c>
      <c r="B346" s="563" t="s">
        <v>3021</v>
      </c>
      <c r="C346" s="563" t="s">
        <v>3932</v>
      </c>
      <c r="D346" s="304">
        <v>16</v>
      </c>
      <c r="E346" s="339"/>
      <c r="F346" s="339"/>
      <c r="G346" s="339"/>
      <c r="H346" s="339"/>
      <c r="I346" s="339"/>
      <c r="J346" s="339"/>
      <c r="K346" s="339"/>
      <c r="L346" s="339"/>
      <c r="M346" s="339"/>
      <c r="N346" s="339"/>
      <c r="O346" s="339"/>
      <c r="P346" s="339"/>
      <c r="Q346" s="321"/>
      <c r="R346" s="321"/>
      <c r="S346" s="321"/>
      <c r="T346" s="183"/>
    </row>
    <row r="347" spans="1:20" s="180" customFormat="1" ht="32.1" customHeight="1">
      <c r="A347" s="404" t="s">
        <v>151</v>
      </c>
      <c r="B347" s="302" t="s">
        <v>1129</v>
      </c>
      <c r="C347" s="302" t="s">
        <v>3934</v>
      </c>
      <c r="D347" s="439">
        <v>25</v>
      </c>
      <c r="E347" s="47"/>
      <c r="F347" s="47">
        <v>97.3</v>
      </c>
      <c r="G347" s="47"/>
      <c r="H347" s="47"/>
      <c r="I347" s="407"/>
      <c r="J347" s="47"/>
      <c r="K347" s="47"/>
      <c r="L347" s="47"/>
      <c r="M347" s="407"/>
      <c r="N347" s="47"/>
      <c r="O347" s="47"/>
      <c r="P347" s="47"/>
      <c r="Q347" s="321">
        <f t="shared" si="18"/>
        <v>97.3</v>
      </c>
      <c r="R347" s="321" t="str">
        <f t="shared" si="16"/>
        <v>NO</v>
      </c>
      <c r="S347" s="321" t="str">
        <f t="shared" si="17"/>
        <v>Inviable Sanitariamente</v>
      </c>
      <c r="T347" s="183"/>
    </row>
    <row r="348" spans="1:20" s="180" customFormat="1" ht="32.1" customHeight="1">
      <c r="A348" s="404" t="s">
        <v>151</v>
      </c>
      <c r="B348" s="302" t="s">
        <v>3022</v>
      </c>
      <c r="C348" s="302" t="s">
        <v>3933</v>
      </c>
      <c r="D348" s="439">
        <v>19</v>
      </c>
      <c r="E348" s="47"/>
      <c r="F348" s="407"/>
      <c r="G348" s="47">
        <v>97.3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321">
        <f t="shared" si="18"/>
        <v>97.3</v>
      </c>
      <c r="R348" s="321" t="str">
        <f t="shared" si="16"/>
        <v>NO</v>
      </c>
      <c r="S348" s="321" t="str">
        <f t="shared" si="17"/>
        <v>Inviable Sanitariamente</v>
      </c>
      <c r="T348" s="183"/>
    </row>
    <row r="349" spans="1:20" s="180" customFormat="1" ht="32.1" customHeight="1">
      <c r="A349" s="404" t="s">
        <v>151</v>
      </c>
      <c r="B349" s="302" t="s">
        <v>3023</v>
      </c>
      <c r="C349" s="302" t="s">
        <v>3935</v>
      </c>
      <c r="D349" s="439">
        <v>23</v>
      </c>
      <c r="E349" s="47"/>
      <c r="F349" s="47"/>
      <c r="G349" s="47"/>
      <c r="H349" s="47">
        <v>97.3</v>
      </c>
      <c r="I349" s="47"/>
      <c r="J349" s="47"/>
      <c r="K349" s="47"/>
      <c r="L349" s="407"/>
      <c r="M349" s="47"/>
      <c r="N349" s="47"/>
      <c r="O349" s="47"/>
      <c r="P349" s="47"/>
      <c r="Q349" s="321">
        <f t="shared" si="18"/>
        <v>97.3</v>
      </c>
      <c r="R349" s="321" t="str">
        <f t="shared" si="16"/>
        <v>NO</v>
      </c>
      <c r="S349" s="321" t="str">
        <f t="shared" si="17"/>
        <v>Inviable Sanitariamente</v>
      </c>
      <c r="T349" s="183"/>
    </row>
    <row r="350" spans="1:20" s="180" customFormat="1" ht="32.1" customHeight="1">
      <c r="A350" s="404" t="s">
        <v>151</v>
      </c>
      <c r="B350" s="302" t="s">
        <v>3024</v>
      </c>
      <c r="C350" s="302" t="s">
        <v>3936</v>
      </c>
      <c r="D350" s="440">
        <v>28</v>
      </c>
      <c r="E350" s="441"/>
      <c r="F350" s="441">
        <v>97.3</v>
      </c>
      <c r="G350" s="441"/>
      <c r="H350" s="441"/>
      <c r="I350" s="441"/>
      <c r="J350" s="441"/>
      <c r="K350" s="441"/>
      <c r="L350" s="407"/>
      <c r="M350" s="47"/>
      <c r="N350" s="47"/>
      <c r="O350" s="47"/>
      <c r="P350" s="47"/>
      <c r="Q350" s="321">
        <f t="shared" si="18"/>
        <v>97.3</v>
      </c>
      <c r="R350" s="321" t="str">
        <f t="shared" si="16"/>
        <v>NO</v>
      </c>
      <c r="S350" s="321" t="str">
        <f t="shared" si="17"/>
        <v>Inviable Sanitariamente</v>
      </c>
      <c r="T350" s="183"/>
    </row>
    <row r="351" spans="1:20" s="180" customFormat="1" ht="32.1" customHeight="1">
      <c r="A351" s="404" t="s">
        <v>151</v>
      </c>
      <c r="B351" s="302" t="s">
        <v>3025</v>
      </c>
      <c r="C351" s="302" t="s">
        <v>3937</v>
      </c>
      <c r="D351" s="439">
        <v>50</v>
      </c>
      <c r="E351" s="47"/>
      <c r="F351" s="47">
        <v>97.3</v>
      </c>
      <c r="G351" s="47"/>
      <c r="H351" s="47"/>
      <c r="I351" s="407"/>
      <c r="J351" s="47"/>
      <c r="K351" s="47"/>
      <c r="L351" s="47"/>
      <c r="M351" s="47"/>
      <c r="N351" s="47"/>
      <c r="O351" s="47"/>
      <c r="P351" s="47"/>
      <c r="Q351" s="321">
        <f t="shared" si="18"/>
        <v>97.3</v>
      </c>
      <c r="R351" s="321" t="str">
        <f t="shared" si="16"/>
        <v>NO</v>
      </c>
      <c r="S351" s="321" t="str">
        <f t="shared" si="17"/>
        <v>Inviable Sanitariamente</v>
      </c>
      <c r="T351" s="183"/>
    </row>
    <row r="352" spans="1:20" s="180" customFormat="1" ht="32.1" customHeight="1">
      <c r="A352" s="404" t="s">
        <v>151</v>
      </c>
      <c r="B352" s="302" t="s">
        <v>1329</v>
      </c>
      <c r="C352" s="302" t="s">
        <v>3938</v>
      </c>
      <c r="D352" s="439">
        <v>25</v>
      </c>
      <c r="E352" s="47"/>
      <c r="F352" s="47"/>
      <c r="G352" s="47">
        <v>97.3</v>
      </c>
      <c r="H352" s="407"/>
      <c r="I352" s="407"/>
      <c r="J352" s="47"/>
      <c r="K352" s="47"/>
      <c r="L352" s="47"/>
      <c r="M352" s="47"/>
      <c r="N352" s="47"/>
      <c r="O352" s="47"/>
      <c r="P352" s="47"/>
      <c r="Q352" s="321">
        <f t="shared" si="18"/>
        <v>97.3</v>
      </c>
      <c r="R352" s="321" t="str">
        <f t="shared" si="16"/>
        <v>NO</v>
      </c>
      <c r="S352" s="321" t="str">
        <f t="shared" si="17"/>
        <v>Inviable Sanitariamente</v>
      </c>
      <c r="T352" s="183"/>
    </row>
    <row r="353" spans="1:20" s="180" customFormat="1" ht="32.1" customHeight="1">
      <c r="A353" s="562" t="s">
        <v>151</v>
      </c>
      <c r="B353" s="563" t="s">
        <v>2897</v>
      </c>
      <c r="C353" s="563" t="s">
        <v>3939</v>
      </c>
      <c r="D353" s="304">
        <v>17</v>
      </c>
      <c r="E353" s="339"/>
      <c r="F353" s="339"/>
      <c r="G353" s="339"/>
      <c r="H353" s="339"/>
      <c r="I353" s="339"/>
      <c r="J353" s="339"/>
      <c r="K353" s="339"/>
      <c r="L353" s="339"/>
      <c r="M353" s="339"/>
      <c r="N353" s="339"/>
      <c r="O353" s="339"/>
      <c r="P353" s="339"/>
      <c r="Q353" s="321"/>
      <c r="R353" s="321"/>
      <c r="S353" s="321"/>
      <c r="T353" s="183"/>
    </row>
    <row r="354" spans="1:20" s="180" customFormat="1" ht="32.1" customHeight="1">
      <c r="A354" s="562" t="s">
        <v>151</v>
      </c>
      <c r="B354" s="563" t="s">
        <v>3026</v>
      </c>
      <c r="C354" s="563" t="s">
        <v>3940</v>
      </c>
      <c r="D354" s="304">
        <v>22</v>
      </c>
      <c r="E354" s="339"/>
      <c r="F354" s="339"/>
      <c r="G354" s="339"/>
      <c r="H354" s="339"/>
      <c r="I354" s="339"/>
      <c r="J354" s="339"/>
      <c r="K354" s="339"/>
      <c r="L354" s="339"/>
      <c r="M354" s="339"/>
      <c r="N354" s="339"/>
      <c r="O354" s="339"/>
      <c r="P354" s="339"/>
      <c r="Q354" s="321"/>
      <c r="R354" s="321"/>
      <c r="S354" s="321"/>
      <c r="T354" s="183"/>
    </row>
    <row r="355" spans="1:20" s="180" customFormat="1" ht="32.1" customHeight="1">
      <c r="A355" s="404" t="s">
        <v>151</v>
      </c>
      <c r="B355" s="302" t="s">
        <v>3027</v>
      </c>
      <c r="C355" s="302" t="s">
        <v>3941</v>
      </c>
      <c r="D355" s="439">
        <v>32</v>
      </c>
      <c r="E355" s="47"/>
      <c r="F355" s="47"/>
      <c r="G355" s="47">
        <v>97.3</v>
      </c>
      <c r="H355" s="47"/>
      <c r="I355" s="47"/>
      <c r="J355" s="47"/>
      <c r="K355" s="47"/>
      <c r="L355" s="47"/>
      <c r="M355" s="47"/>
      <c r="N355" s="407"/>
      <c r="O355" s="47"/>
      <c r="P355" s="47"/>
      <c r="Q355" s="321">
        <f t="shared" si="18"/>
        <v>97.3</v>
      </c>
      <c r="R355" s="321" t="str">
        <f t="shared" si="16"/>
        <v>NO</v>
      </c>
      <c r="S355" s="321" t="str">
        <f t="shared" si="17"/>
        <v>Inviable Sanitariamente</v>
      </c>
      <c r="T355" s="183"/>
    </row>
    <row r="356" spans="1:20" s="180" customFormat="1" ht="32.1" customHeight="1">
      <c r="A356" s="404" t="s">
        <v>151</v>
      </c>
      <c r="B356" s="302" t="s">
        <v>3028</v>
      </c>
      <c r="C356" s="302" t="s">
        <v>3942</v>
      </c>
      <c r="D356" s="439">
        <v>25</v>
      </c>
      <c r="E356" s="47"/>
      <c r="F356" s="47">
        <v>97.3</v>
      </c>
      <c r="G356" s="407"/>
      <c r="H356" s="47"/>
      <c r="I356" s="47"/>
      <c r="J356" s="47"/>
      <c r="K356" s="47"/>
      <c r="L356" s="47"/>
      <c r="M356" s="47"/>
      <c r="N356" s="407"/>
      <c r="O356" s="47"/>
      <c r="P356" s="47"/>
      <c r="Q356" s="321">
        <f t="shared" si="18"/>
        <v>97.3</v>
      </c>
      <c r="R356" s="321" t="str">
        <f t="shared" si="16"/>
        <v>NO</v>
      </c>
      <c r="S356" s="321" t="str">
        <f t="shared" si="17"/>
        <v>Inviable Sanitariamente</v>
      </c>
      <c r="T356" s="183"/>
    </row>
    <row r="357" spans="1:20" s="180" customFormat="1" ht="32.1" customHeight="1">
      <c r="A357" s="562" t="s">
        <v>151</v>
      </c>
      <c r="B357" s="563" t="s">
        <v>3029</v>
      </c>
      <c r="C357" s="563" t="s">
        <v>3943</v>
      </c>
      <c r="D357" s="304">
        <v>20</v>
      </c>
      <c r="E357" s="339"/>
      <c r="F357" s="339"/>
      <c r="G357" s="339"/>
      <c r="H357" s="339"/>
      <c r="I357" s="339"/>
      <c r="J357" s="339"/>
      <c r="K357" s="339"/>
      <c r="L357" s="339"/>
      <c r="M357" s="339"/>
      <c r="N357" s="339"/>
      <c r="O357" s="339"/>
      <c r="P357" s="339"/>
      <c r="Q357" s="321"/>
      <c r="R357" s="321"/>
      <c r="S357" s="321"/>
      <c r="T357" s="183"/>
    </row>
    <row r="358" spans="1:20" s="180" customFormat="1" ht="32.1" customHeight="1">
      <c r="A358" s="564" t="s">
        <v>151</v>
      </c>
      <c r="B358" s="563" t="s">
        <v>3030</v>
      </c>
      <c r="C358" s="563" t="s">
        <v>3944</v>
      </c>
      <c r="D358" s="439">
        <v>30</v>
      </c>
      <c r="E358" s="47"/>
      <c r="F358" s="47"/>
      <c r="G358" s="47"/>
      <c r="H358" s="407">
        <v>97.3</v>
      </c>
      <c r="I358" s="47"/>
      <c r="J358" s="47"/>
      <c r="K358" s="47"/>
      <c r="L358" s="47"/>
      <c r="M358" s="47"/>
      <c r="N358" s="47"/>
      <c r="O358" s="47"/>
      <c r="P358" s="47"/>
      <c r="Q358" s="321">
        <f t="shared" si="18"/>
        <v>97.3</v>
      </c>
      <c r="R358" s="321" t="str">
        <f t="shared" si="16"/>
        <v>NO</v>
      </c>
      <c r="S358" s="321" t="str">
        <f t="shared" si="17"/>
        <v>Inviable Sanitariamente</v>
      </c>
      <c r="T358" s="183"/>
    </row>
    <row r="359" spans="1:20" s="180" customFormat="1" ht="32.1" customHeight="1">
      <c r="A359" s="562" t="s">
        <v>151</v>
      </c>
      <c r="B359" s="563" t="s">
        <v>622</v>
      </c>
      <c r="C359" s="563" t="s">
        <v>3945</v>
      </c>
      <c r="D359" s="304">
        <v>40</v>
      </c>
      <c r="E359" s="339"/>
      <c r="F359" s="339"/>
      <c r="G359" s="339"/>
      <c r="H359" s="339"/>
      <c r="I359" s="339">
        <v>97.3</v>
      </c>
      <c r="J359" s="339"/>
      <c r="K359" s="339"/>
      <c r="L359" s="339"/>
      <c r="M359" s="339"/>
      <c r="N359" s="339"/>
      <c r="O359" s="339"/>
      <c r="P359" s="339"/>
      <c r="Q359" s="321">
        <f t="shared" si="18"/>
        <v>97.3</v>
      </c>
      <c r="R359" s="321" t="str">
        <f t="shared" si="16"/>
        <v>NO</v>
      </c>
      <c r="S359" s="321" t="str">
        <f t="shared" si="17"/>
        <v>Inviable Sanitariamente</v>
      </c>
      <c r="T359" s="183"/>
    </row>
    <row r="360" spans="1:20" s="180" customFormat="1" ht="32.1" customHeight="1">
      <c r="A360" s="562" t="s">
        <v>151</v>
      </c>
      <c r="B360" s="563" t="s">
        <v>3031</v>
      </c>
      <c r="C360" s="563" t="s">
        <v>3946</v>
      </c>
      <c r="D360" s="304">
        <v>47</v>
      </c>
      <c r="E360" s="339"/>
      <c r="F360" s="339"/>
      <c r="G360" s="339"/>
      <c r="H360" s="339"/>
      <c r="I360" s="339">
        <v>97.3</v>
      </c>
      <c r="J360" s="339"/>
      <c r="K360" s="339"/>
      <c r="L360" s="339"/>
      <c r="M360" s="339"/>
      <c r="N360" s="339"/>
      <c r="O360" s="339"/>
      <c r="P360" s="339"/>
      <c r="Q360" s="321">
        <f t="shared" si="18"/>
        <v>97.3</v>
      </c>
      <c r="R360" s="321" t="str">
        <f t="shared" si="16"/>
        <v>NO</v>
      </c>
      <c r="S360" s="321" t="str">
        <f t="shared" si="17"/>
        <v>Inviable Sanitariamente</v>
      </c>
      <c r="T360" s="183"/>
    </row>
    <row r="361" spans="1:20" s="180" customFormat="1" ht="32.1" customHeight="1">
      <c r="A361" s="562" t="s">
        <v>151</v>
      </c>
      <c r="B361" s="563" t="s">
        <v>3032</v>
      </c>
      <c r="C361" s="563" t="s">
        <v>3947</v>
      </c>
      <c r="D361" s="304">
        <v>25</v>
      </c>
      <c r="E361" s="339"/>
      <c r="F361" s="339"/>
      <c r="G361" s="339"/>
      <c r="H361" s="339"/>
      <c r="I361" s="339"/>
      <c r="J361" s="339"/>
      <c r="K361" s="339"/>
      <c r="L361" s="339"/>
      <c r="M361" s="339"/>
      <c r="N361" s="339"/>
      <c r="O361" s="339"/>
      <c r="P361" s="339"/>
      <c r="Q361" s="321"/>
      <c r="R361" s="321"/>
      <c r="S361" s="321"/>
      <c r="T361" s="183"/>
    </row>
    <row r="362" spans="1:20" s="180" customFormat="1" ht="32.1" customHeight="1">
      <c r="A362" s="562" t="s">
        <v>151</v>
      </c>
      <c r="B362" s="563" t="s">
        <v>3033</v>
      </c>
      <c r="C362" s="563" t="s">
        <v>3948</v>
      </c>
      <c r="D362" s="304">
        <v>26</v>
      </c>
      <c r="E362" s="339"/>
      <c r="F362" s="339"/>
      <c r="G362" s="339"/>
      <c r="H362" s="339"/>
      <c r="I362" s="339"/>
      <c r="J362" s="339"/>
      <c r="K362" s="339"/>
      <c r="L362" s="339"/>
      <c r="M362" s="339"/>
      <c r="N362" s="339"/>
      <c r="O362" s="339"/>
      <c r="P362" s="339"/>
      <c r="Q362" s="321"/>
      <c r="R362" s="321"/>
      <c r="S362" s="321"/>
      <c r="T362" s="183"/>
    </row>
    <row r="363" spans="1:20" s="180" customFormat="1" ht="32.1" customHeight="1">
      <c r="A363" s="562" t="s">
        <v>151</v>
      </c>
      <c r="B363" s="563" t="s">
        <v>3034</v>
      </c>
      <c r="C363" s="563" t="s">
        <v>3952</v>
      </c>
      <c r="D363" s="304">
        <v>26</v>
      </c>
      <c r="E363" s="339"/>
      <c r="F363" s="339"/>
      <c r="G363" s="339"/>
      <c r="H363" s="339"/>
      <c r="I363" s="339">
        <v>97.3</v>
      </c>
      <c r="J363" s="339"/>
      <c r="K363" s="339"/>
      <c r="L363" s="339"/>
      <c r="M363" s="339"/>
      <c r="N363" s="339"/>
      <c r="O363" s="339"/>
      <c r="P363" s="339"/>
      <c r="Q363" s="321">
        <f t="shared" si="18"/>
        <v>97.3</v>
      </c>
      <c r="R363" s="321" t="str">
        <f t="shared" si="16"/>
        <v>NO</v>
      </c>
      <c r="S363" s="321" t="str">
        <f t="shared" si="17"/>
        <v>Inviable Sanitariamente</v>
      </c>
      <c r="T363" s="183"/>
    </row>
    <row r="364" spans="1:20" s="180" customFormat="1" ht="32.1" customHeight="1">
      <c r="A364" s="562" t="s">
        <v>151</v>
      </c>
      <c r="B364" s="563" t="s">
        <v>3035</v>
      </c>
      <c r="C364" s="563" t="s">
        <v>3949</v>
      </c>
      <c r="D364" s="304">
        <v>19</v>
      </c>
      <c r="E364" s="339"/>
      <c r="F364" s="339"/>
      <c r="G364" s="339"/>
      <c r="H364" s="339"/>
      <c r="I364" s="339"/>
      <c r="J364" s="339"/>
      <c r="K364" s="339"/>
      <c r="L364" s="339"/>
      <c r="M364" s="339"/>
      <c r="N364" s="339"/>
      <c r="O364" s="339"/>
      <c r="P364" s="339"/>
      <c r="Q364" s="321"/>
      <c r="R364" s="321"/>
      <c r="S364" s="321"/>
      <c r="T364" s="183"/>
    </row>
    <row r="365" spans="1:20" s="180" customFormat="1" ht="32.1" customHeight="1">
      <c r="A365" s="404" t="s">
        <v>151</v>
      </c>
      <c r="B365" s="302" t="s">
        <v>1052</v>
      </c>
      <c r="C365" s="302" t="s">
        <v>3950</v>
      </c>
      <c r="D365" s="439">
        <v>24</v>
      </c>
      <c r="E365" s="47">
        <v>97.3</v>
      </c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321">
        <f t="shared" si="18"/>
        <v>97.3</v>
      </c>
      <c r="R365" s="321" t="str">
        <f t="shared" si="16"/>
        <v>NO</v>
      </c>
      <c r="S365" s="321" t="str">
        <f t="shared" si="17"/>
        <v>Inviable Sanitariamente</v>
      </c>
      <c r="T365" s="183"/>
    </row>
    <row r="366" spans="1:20" s="180" customFormat="1" ht="32.1" customHeight="1">
      <c r="A366" s="564" t="s">
        <v>151</v>
      </c>
      <c r="B366" s="565" t="s">
        <v>3036</v>
      </c>
      <c r="C366" s="565" t="s">
        <v>3951</v>
      </c>
      <c r="D366" s="304">
        <v>35</v>
      </c>
      <c r="E366" s="339"/>
      <c r="F366" s="339"/>
      <c r="G366" s="339"/>
      <c r="H366" s="339"/>
      <c r="I366" s="339"/>
      <c r="J366" s="339"/>
      <c r="K366" s="339"/>
      <c r="L366" s="339"/>
      <c r="M366" s="339"/>
      <c r="N366" s="339"/>
      <c r="O366" s="339"/>
      <c r="P366" s="339"/>
      <c r="Q366" s="321"/>
      <c r="R366" s="321"/>
      <c r="S366" s="321"/>
      <c r="T366" s="183"/>
    </row>
    <row r="367" spans="1:20" s="180" customFormat="1" ht="32.1" customHeight="1">
      <c r="A367" s="564" t="s">
        <v>151</v>
      </c>
      <c r="B367" s="565" t="s">
        <v>4214</v>
      </c>
      <c r="C367" s="565" t="s">
        <v>4215</v>
      </c>
      <c r="D367" s="439">
        <v>25</v>
      </c>
      <c r="E367" s="47">
        <v>97.3</v>
      </c>
      <c r="F367" s="47"/>
      <c r="G367" s="47"/>
      <c r="H367" s="407"/>
      <c r="I367" s="47"/>
      <c r="J367" s="47"/>
      <c r="K367" s="47"/>
      <c r="L367" s="47"/>
      <c r="M367" s="47"/>
      <c r="N367" s="47"/>
      <c r="O367" s="47"/>
      <c r="P367" s="47"/>
      <c r="Q367" s="321">
        <f>AVERAGE(E367:P367)</f>
        <v>97.3</v>
      </c>
      <c r="R367" s="321" t="str">
        <f t="shared" si="16"/>
        <v>NO</v>
      </c>
      <c r="S367" s="321" t="str">
        <f t="shared" si="17"/>
        <v>Inviable Sanitariamente</v>
      </c>
      <c r="T367" s="183"/>
    </row>
    <row r="368" spans="1:20" s="180" customFormat="1" ht="32.1" customHeight="1">
      <c r="A368" s="564" t="s">
        <v>151</v>
      </c>
      <c r="B368" s="565" t="s">
        <v>4217</v>
      </c>
      <c r="C368" s="565" t="s">
        <v>4216</v>
      </c>
      <c r="D368" s="304">
        <v>32</v>
      </c>
      <c r="E368" s="339"/>
      <c r="F368" s="339"/>
      <c r="G368" s="339"/>
      <c r="H368" s="339"/>
      <c r="I368" s="339">
        <v>97.3</v>
      </c>
      <c r="J368" s="339"/>
      <c r="K368" s="339"/>
      <c r="L368" s="339"/>
      <c r="M368" s="339"/>
      <c r="N368" s="339"/>
      <c r="O368" s="339"/>
      <c r="P368" s="339"/>
      <c r="Q368" s="321">
        <f>AVERAGE(E368:P368)</f>
        <v>97.3</v>
      </c>
      <c r="R368" s="321" t="str">
        <f t="shared" si="16"/>
        <v>NO</v>
      </c>
      <c r="S368" s="321" t="str">
        <f t="shared" si="17"/>
        <v>Inviable Sanitariamente</v>
      </c>
      <c r="T368" s="183"/>
    </row>
    <row r="369" spans="1:20" s="180" customFormat="1" ht="32.1" customHeight="1">
      <c r="A369" s="564" t="s">
        <v>151</v>
      </c>
      <c r="B369" s="565" t="s">
        <v>4218</v>
      </c>
      <c r="C369" s="565" t="s">
        <v>4219</v>
      </c>
      <c r="D369" s="439">
        <v>52</v>
      </c>
      <c r="E369" s="47"/>
      <c r="F369" s="47">
        <v>97.3</v>
      </c>
      <c r="G369" s="47"/>
      <c r="H369" s="47"/>
      <c r="I369" s="47"/>
      <c r="J369" s="407"/>
      <c r="K369" s="47"/>
      <c r="L369" s="47"/>
      <c r="M369" s="47"/>
      <c r="N369" s="47"/>
      <c r="O369" s="47"/>
      <c r="P369" s="47"/>
      <c r="Q369" s="321">
        <f>AVERAGE(E369:P369)</f>
        <v>97.3</v>
      </c>
      <c r="R369" s="321" t="str">
        <f t="shared" si="16"/>
        <v>NO</v>
      </c>
      <c r="S369" s="321" t="str">
        <f t="shared" si="17"/>
        <v>Inviable Sanitariamente</v>
      </c>
      <c r="T369" s="183"/>
    </row>
    <row r="370" spans="1:20" s="180" customFormat="1" ht="32.1" customHeight="1">
      <c r="A370" s="564" t="s">
        <v>151</v>
      </c>
      <c r="B370" s="594" t="s">
        <v>4370</v>
      </c>
      <c r="C370" s="594" t="s">
        <v>55</v>
      </c>
      <c r="D370" s="440">
        <v>22</v>
      </c>
      <c r="E370" s="441"/>
      <c r="F370" s="441"/>
      <c r="G370" s="407">
        <v>97.3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31">
        <f>AVERAGE(E370:P370)</f>
        <v>97.3</v>
      </c>
      <c r="R370" s="363" t="str">
        <f t="shared" si="16"/>
        <v>NO</v>
      </c>
      <c r="S370" s="435" t="str">
        <f>IF(Q370&lt;5,"Sin Riesgo",IF(Q370 &lt;=14,"Bajo",IF(Q370&lt;=35,"Medio",IF(Q370&lt;=80,"Alto","Inviable Sanitariamente"))))</f>
        <v>Inviable Sanitariamente</v>
      </c>
      <c r="T370" s="183"/>
    </row>
    <row r="371" spans="1:20" s="180" customFormat="1" ht="32.1" customHeight="1">
      <c r="A371" s="564" t="s">
        <v>152</v>
      </c>
      <c r="B371" s="565" t="s">
        <v>3037</v>
      </c>
      <c r="C371" s="565" t="s">
        <v>3038</v>
      </c>
      <c r="D371" s="304">
        <v>250</v>
      </c>
      <c r="E371" s="339"/>
      <c r="F371" s="339"/>
      <c r="G371" s="339"/>
      <c r="H371" s="339"/>
      <c r="I371" s="339">
        <v>97.3</v>
      </c>
      <c r="J371" s="339">
        <v>97.3</v>
      </c>
      <c r="K371" s="339"/>
      <c r="L371" s="339"/>
      <c r="M371" s="339"/>
      <c r="N371" s="339"/>
      <c r="O371" s="339"/>
      <c r="P371" s="339"/>
      <c r="Q371" s="321">
        <f t="shared" si="18"/>
        <v>97.3</v>
      </c>
      <c r="R371" s="321" t="str">
        <f t="shared" si="16"/>
        <v>NO</v>
      </c>
      <c r="S371" s="321" t="str">
        <f t="shared" si="17"/>
        <v>Inviable Sanitariamente</v>
      </c>
      <c r="T371" s="183"/>
    </row>
    <row r="372" spans="1:20" s="180" customFormat="1" ht="32.1" customHeight="1">
      <c r="A372" s="564" t="s">
        <v>152</v>
      </c>
      <c r="B372" s="565" t="s">
        <v>3039</v>
      </c>
      <c r="C372" s="565" t="s">
        <v>3040</v>
      </c>
      <c r="D372" s="304">
        <v>78</v>
      </c>
      <c r="E372" s="339"/>
      <c r="F372" s="339">
        <v>97.3</v>
      </c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21">
        <f t="shared" si="18"/>
        <v>97.3</v>
      </c>
      <c r="R372" s="321" t="str">
        <f t="shared" si="16"/>
        <v>NO</v>
      </c>
      <c r="S372" s="321" t="str">
        <f t="shared" si="17"/>
        <v>Inviable Sanitariamente</v>
      </c>
      <c r="T372" s="183"/>
    </row>
    <row r="373" spans="1:20" s="180" customFormat="1" ht="32.1" customHeight="1">
      <c r="A373" s="564" t="s">
        <v>152</v>
      </c>
      <c r="B373" s="565" t="s">
        <v>3041</v>
      </c>
      <c r="C373" s="565" t="s">
        <v>3042</v>
      </c>
      <c r="D373" s="304">
        <v>56</v>
      </c>
      <c r="E373" s="339"/>
      <c r="F373" s="339"/>
      <c r="G373" s="339"/>
      <c r="H373" s="339">
        <v>97.3</v>
      </c>
      <c r="I373" s="339"/>
      <c r="J373" s="339"/>
      <c r="K373" s="339"/>
      <c r="L373" s="339"/>
      <c r="M373" s="339"/>
      <c r="N373" s="339"/>
      <c r="O373" s="339"/>
      <c r="P373" s="339"/>
      <c r="Q373" s="321">
        <f t="shared" si="18"/>
        <v>97.3</v>
      </c>
      <c r="R373" s="321" t="str">
        <f t="shared" si="16"/>
        <v>NO</v>
      </c>
      <c r="S373" s="321" t="str">
        <f t="shared" si="17"/>
        <v>Inviable Sanitariamente</v>
      </c>
      <c r="T373" s="183"/>
    </row>
    <row r="374" spans="1:20" s="180" customFormat="1" ht="32.1" customHeight="1">
      <c r="A374" s="564" t="s">
        <v>152</v>
      </c>
      <c r="B374" s="565" t="s">
        <v>949</v>
      </c>
      <c r="C374" s="565" t="s">
        <v>3043</v>
      </c>
      <c r="D374" s="304">
        <v>90</v>
      </c>
      <c r="E374" s="339"/>
      <c r="F374" s="339"/>
      <c r="G374" s="339">
        <v>97.3</v>
      </c>
      <c r="H374" s="339"/>
      <c r="I374" s="339"/>
      <c r="J374" s="339"/>
      <c r="K374" s="339"/>
      <c r="L374" s="339"/>
      <c r="M374" s="339"/>
      <c r="N374" s="339"/>
      <c r="O374" s="339"/>
      <c r="P374" s="339"/>
      <c r="Q374" s="321">
        <f t="shared" si="18"/>
        <v>97.3</v>
      </c>
      <c r="R374" s="321" t="str">
        <f t="shared" si="16"/>
        <v>NO</v>
      </c>
      <c r="S374" s="321" t="str">
        <f t="shared" si="17"/>
        <v>Inviable Sanitariamente</v>
      </c>
      <c r="T374" s="183"/>
    </row>
    <row r="375" spans="1:20" s="180" customFormat="1" ht="32.1" customHeight="1">
      <c r="A375" s="564" t="s">
        <v>152</v>
      </c>
      <c r="B375" s="565" t="s">
        <v>2685</v>
      </c>
      <c r="C375" s="565" t="s">
        <v>3044</v>
      </c>
      <c r="D375" s="304">
        <v>80</v>
      </c>
      <c r="E375" s="339"/>
      <c r="F375" s="339"/>
      <c r="G375" s="339"/>
      <c r="H375" s="339"/>
      <c r="I375" s="339">
        <v>97.3</v>
      </c>
      <c r="J375" s="339"/>
      <c r="K375" s="339"/>
      <c r="L375" s="339"/>
      <c r="M375" s="339"/>
      <c r="N375" s="339"/>
      <c r="O375" s="339"/>
      <c r="P375" s="339"/>
      <c r="Q375" s="321">
        <f t="shared" si="18"/>
        <v>97.3</v>
      </c>
      <c r="R375" s="321" t="str">
        <f t="shared" si="16"/>
        <v>NO</v>
      </c>
      <c r="S375" s="321" t="str">
        <f t="shared" si="17"/>
        <v>Inviable Sanitariamente</v>
      </c>
      <c r="T375" s="183"/>
    </row>
    <row r="376" spans="1:20" s="180" customFormat="1" ht="32.1" customHeight="1">
      <c r="A376" s="564" t="s">
        <v>152</v>
      </c>
      <c r="B376" s="565" t="s">
        <v>3045</v>
      </c>
      <c r="C376" s="565" t="s">
        <v>3046</v>
      </c>
      <c r="D376" s="304">
        <v>30</v>
      </c>
      <c r="E376" s="339"/>
      <c r="F376" s="339"/>
      <c r="G376" s="339"/>
      <c r="H376" s="339"/>
      <c r="I376" s="339">
        <v>97.3</v>
      </c>
      <c r="J376" s="339"/>
      <c r="K376" s="339"/>
      <c r="L376" s="339"/>
      <c r="M376" s="339"/>
      <c r="N376" s="339"/>
      <c r="O376" s="339"/>
      <c r="P376" s="339"/>
      <c r="Q376" s="321">
        <f t="shared" si="18"/>
        <v>97.3</v>
      </c>
      <c r="R376" s="321" t="str">
        <f t="shared" si="16"/>
        <v>NO</v>
      </c>
      <c r="S376" s="321" t="str">
        <f t="shared" si="17"/>
        <v>Inviable Sanitariamente</v>
      </c>
      <c r="T376" s="183"/>
    </row>
    <row r="377" spans="1:20" s="180" customFormat="1" ht="32.1" customHeight="1">
      <c r="A377" s="564" t="s">
        <v>152</v>
      </c>
      <c r="B377" s="565" t="s">
        <v>1148</v>
      </c>
      <c r="C377" s="565" t="s">
        <v>3047</v>
      </c>
      <c r="D377" s="304">
        <v>80</v>
      </c>
      <c r="E377" s="339"/>
      <c r="F377" s="339"/>
      <c r="G377" s="339">
        <v>97.3</v>
      </c>
      <c r="H377" s="339"/>
      <c r="I377" s="339"/>
      <c r="J377" s="339"/>
      <c r="K377" s="339"/>
      <c r="L377" s="339"/>
      <c r="M377" s="339"/>
      <c r="N377" s="339"/>
      <c r="O377" s="339"/>
      <c r="P377" s="339"/>
      <c r="Q377" s="321">
        <f t="shared" si="18"/>
        <v>97.3</v>
      </c>
      <c r="R377" s="321" t="str">
        <f t="shared" si="16"/>
        <v>NO</v>
      </c>
      <c r="S377" s="321" t="str">
        <f t="shared" si="17"/>
        <v>Inviable Sanitariamente</v>
      </c>
      <c r="T377" s="183"/>
    </row>
    <row r="378" spans="1:20" s="180" customFormat="1" ht="32.1" customHeight="1">
      <c r="A378" s="564" t="s">
        <v>152</v>
      </c>
      <c r="B378" s="565" t="s">
        <v>2343</v>
      </c>
      <c r="C378" s="565" t="s">
        <v>3048</v>
      </c>
      <c r="D378" s="304">
        <v>63</v>
      </c>
      <c r="E378" s="339"/>
      <c r="F378" s="339"/>
      <c r="G378" s="339">
        <v>97.3</v>
      </c>
      <c r="H378" s="339"/>
      <c r="I378" s="339"/>
      <c r="J378" s="339"/>
      <c r="K378" s="339"/>
      <c r="L378" s="339"/>
      <c r="M378" s="339"/>
      <c r="N378" s="339"/>
      <c r="O378" s="339"/>
      <c r="P378" s="339"/>
      <c r="Q378" s="321">
        <f t="shared" si="18"/>
        <v>97.3</v>
      </c>
      <c r="R378" s="321" t="str">
        <f t="shared" si="16"/>
        <v>NO</v>
      </c>
      <c r="S378" s="321" t="str">
        <f t="shared" si="17"/>
        <v>Inviable Sanitariamente</v>
      </c>
      <c r="T378" s="183"/>
    </row>
    <row r="379" spans="1:20" s="180" customFormat="1" ht="32.1" customHeight="1">
      <c r="A379" s="564" t="s">
        <v>152</v>
      </c>
      <c r="B379" s="565" t="s">
        <v>3049</v>
      </c>
      <c r="C379" s="565" t="s">
        <v>3050</v>
      </c>
      <c r="D379" s="304">
        <v>45</v>
      </c>
      <c r="E379" s="339"/>
      <c r="F379" s="339"/>
      <c r="G379" s="339"/>
      <c r="H379" s="339">
        <v>97.3</v>
      </c>
      <c r="I379" s="339"/>
      <c r="J379" s="339"/>
      <c r="K379" s="339"/>
      <c r="L379" s="339"/>
      <c r="M379" s="339"/>
      <c r="N379" s="339"/>
      <c r="O379" s="339"/>
      <c r="P379" s="339"/>
      <c r="Q379" s="321">
        <f t="shared" si="18"/>
        <v>97.3</v>
      </c>
      <c r="R379" s="321" t="str">
        <f t="shared" si="16"/>
        <v>NO</v>
      </c>
      <c r="S379" s="321" t="str">
        <f t="shared" si="17"/>
        <v>Inviable Sanitariamente</v>
      </c>
      <c r="T379" s="183"/>
    </row>
    <row r="380" spans="1:20" s="180" customFormat="1" ht="32.1" customHeight="1">
      <c r="A380" s="564" t="s">
        <v>152</v>
      </c>
      <c r="B380" s="565" t="s">
        <v>3051</v>
      </c>
      <c r="C380" s="565" t="s">
        <v>3052</v>
      </c>
      <c r="D380" s="304"/>
      <c r="E380" s="339"/>
      <c r="F380" s="339"/>
      <c r="G380" s="339"/>
      <c r="H380" s="339"/>
      <c r="I380" s="339"/>
      <c r="J380" s="339"/>
      <c r="K380" s="339"/>
      <c r="L380" s="339"/>
      <c r="M380" s="339"/>
      <c r="N380" s="339"/>
      <c r="O380" s="339"/>
      <c r="P380" s="339"/>
      <c r="Q380" s="321"/>
      <c r="R380" s="321"/>
      <c r="S380" s="321"/>
      <c r="T380" s="183"/>
    </row>
    <row r="381" spans="1:20" s="180" customFormat="1" ht="32.1" customHeight="1">
      <c r="A381" s="564" t="s">
        <v>152</v>
      </c>
      <c r="B381" s="565" t="s">
        <v>3053</v>
      </c>
      <c r="C381" s="565" t="s">
        <v>3054</v>
      </c>
      <c r="D381" s="304">
        <v>70</v>
      </c>
      <c r="E381" s="339"/>
      <c r="F381" s="339"/>
      <c r="G381" s="339"/>
      <c r="H381" s="339"/>
      <c r="I381" s="339">
        <v>97.3</v>
      </c>
      <c r="J381" s="339"/>
      <c r="K381" s="339"/>
      <c r="L381" s="339"/>
      <c r="M381" s="339"/>
      <c r="N381" s="339"/>
      <c r="O381" s="339"/>
      <c r="P381" s="339"/>
      <c r="Q381" s="321">
        <f t="shared" si="18"/>
        <v>97.3</v>
      </c>
      <c r="R381" s="321" t="str">
        <f t="shared" si="16"/>
        <v>NO</v>
      </c>
      <c r="S381" s="321" t="str">
        <f t="shared" si="17"/>
        <v>Inviable Sanitariamente</v>
      </c>
      <c r="T381" s="183"/>
    </row>
    <row r="382" spans="1:20" s="180" customFormat="1" ht="32.1" customHeight="1">
      <c r="A382" s="564" t="s">
        <v>152</v>
      </c>
      <c r="B382" s="565" t="s">
        <v>3055</v>
      </c>
      <c r="C382" s="565" t="s">
        <v>3056</v>
      </c>
      <c r="D382" s="304">
        <v>40</v>
      </c>
      <c r="E382" s="339"/>
      <c r="F382" s="339"/>
      <c r="G382" s="339">
        <v>97.3</v>
      </c>
      <c r="H382" s="339"/>
      <c r="I382" s="339"/>
      <c r="J382" s="339"/>
      <c r="K382" s="339"/>
      <c r="L382" s="339"/>
      <c r="M382" s="339"/>
      <c r="N382" s="339"/>
      <c r="O382" s="339"/>
      <c r="P382" s="339"/>
      <c r="Q382" s="321">
        <f t="shared" si="18"/>
        <v>97.3</v>
      </c>
      <c r="R382" s="321" t="str">
        <f t="shared" si="16"/>
        <v>NO</v>
      </c>
      <c r="S382" s="321" t="str">
        <f t="shared" si="17"/>
        <v>Inviable Sanitariamente</v>
      </c>
      <c r="T382" s="183"/>
    </row>
    <row r="383" spans="1:20" s="180" customFormat="1" ht="32.1" customHeight="1">
      <c r="A383" s="564" t="s">
        <v>152</v>
      </c>
      <c r="B383" s="565" t="s">
        <v>2966</v>
      </c>
      <c r="C383" s="565" t="s">
        <v>3057</v>
      </c>
      <c r="D383" s="304">
        <v>52</v>
      </c>
      <c r="E383" s="339"/>
      <c r="F383" s="339"/>
      <c r="G383" s="339"/>
      <c r="H383" s="339"/>
      <c r="I383" s="339">
        <v>97.3</v>
      </c>
      <c r="J383" s="339"/>
      <c r="K383" s="339"/>
      <c r="L383" s="339"/>
      <c r="M383" s="339"/>
      <c r="N383" s="339"/>
      <c r="O383" s="339"/>
      <c r="P383" s="339"/>
      <c r="Q383" s="321">
        <f t="shared" si="18"/>
        <v>97.3</v>
      </c>
      <c r="R383" s="321" t="str">
        <f t="shared" si="16"/>
        <v>NO</v>
      </c>
      <c r="S383" s="321" t="str">
        <f t="shared" si="17"/>
        <v>Inviable Sanitariamente</v>
      </c>
      <c r="T383" s="183"/>
    </row>
    <row r="384" spans="1:20" s="180" customFormat="1" ht="32.1" customHeight="1">
      <c r="A384" s="564" t="s">
        <v>152</v>
      </c>
      <c r="B384" s="565" t="s">
        <v>70</v>
      </c>
      <c r="C384" s="565" t="s">
        <v>3058</v>
      </c>
      <c r="D384" s="304">
        <v>28</v>
      </c>
      <c r="E384" s="339"/>
      <c r="F384" s="339"/>
      <c r="G384" s="339"/>
      <c r="H384" s="339"/>
      <c r="I384" s="339">
        <v>97.3</v>
      </c>
      <c r="J384" s="339"/>
      <c r="K384" s="339"/>
      <c r="L384" s="339"/>
      <c r="M384" s="339"/>
      <c r="N384" s="339"/>
      <c r="O384" s="339"/>
      <c r="P384" s="339"/>
      <c r="Q384" s="321">
        <f t="shared" si="18"/>
        <v>97.3</v>
      </c>
      <c r="R384" s="321" t="str">
        <f t="shared" si="16"/>
        <v>NO</v>
      </c>
      <c r="S384" s="321" t="str">
        <f t="shared" si="17"/>
        <v>Inviable Sanitariamente</v>
      </c>
      <c r="T384" s="183"/>
    </row>
    <row r="385" spans="1:20" s="180" customFormat="1" ht="32.1" customHeight="1">
      <c r="A385" s="564" t="s">
        <v>152</v>
      </c>
      <c r="B385" s="565" t="s">
        <v>3059</v>
      </c>
      <c r="C385" s="565" t="s">
        <v>3060</v>
      </c>
      <c r="D385" s="304">
        <v>85</v>
      </c>
      <c r="E385" s="339"/>
      <c r="F385" s="339"/>
      <c r="G385" s="339"/>
      <c r="H385" s="339">
        <v>97.3</v>
      </c>
      <c r="I385" s="339"/>
      <c r="J385" s="339"/>
      <c r="K385" s="339"/>
      <c r="L385" s="339"/>
      <c r="M385" s="339"/>
      <c r="N385" s="339"/>
      <c r="O385" s="339"/>
      <c r="P385" s="339"/>
      <c r="Q385" s="321">
        <f t="shared" si="18"/>
        <v>97.3</v>
      </c>
      <c r="R385" s="321" t="str">
        <f t="shared" si="16"/>
        <v>NO</v>
      </c>
      <c r="S385" s="321" t="str">
        <f t="shared" si="17"/>
        <v>Inviable Sanitariamente</v>
      </c>
      <c r="T385" s="183"/>
    </row>
    <row r="386" spans="1:20" s="180" customFormat="1" ht="32.1" customHeight="1">
      <c r="A386" s="564" t="s">
        <v>152</v>
      </c>
      <c r="B386" s="565" t="s">
        <v>3061</v>
      </c>
      <c r="C386" s="565" t="s">
        <v>3062</v>
      </c>
      <c r="D386" s="304">
        <v>58</v>
      </c>
      <c r="E386" s="339"/>
      <c r="F386" s="339"/>
      <c r="G386" s="339">
        <v>97.3</v>
      </c>
      <c r="H386" s="339"/>
      <c r="I386" s="339"/>
      <c r="J386" s="339"/>
      <c r="K386" s="339"/>
      <c r="L386" s="339"/>
      <c r="M386" s="339"/>
      <c r="N386" s="339"/>
      <c r="O386" s="339"/>
      <c r="P386" s="339"/>
      <c r="Q386" s="321">
        <f t="shared" si="18"/>
        <v>97.3</v>
      </c>
      <c r="R386" s="321" t="str">
        <f t="shared" si="16"/>
        <v>NO</v>
      </c>
      <c r="S386" s="321" t="str">
        <f t="shared" si="17"/>
        <v>Inviable Sanitariamente</v>
      </c>
      <c r="T386" s="183"/>
    </row>
    <row r="387" spans="1:20" s="180" customFormat="1" ht="32.1" customHeight="1">
      <c r="A387" s="564" t="s">
        <v>152</v>
      </c>
      <c r="B387" s="565" t="s">
        <v>1244</v>
      </c>
      <c r="C387" s="565" t="s">
        <v>3063</v>
      </c>
      <c r="D387" s="304"/>
      <c r="E387" s="339"/>
      <c r="F387" s="339"/>
      <c r="G387" s="339"/>
      <c r="H387" s="339"/>
      <c r="I387" s="339"/>
      <c r="J387" s="339"/>
      <c r="K387" s="339"/>
      <c r="L387" s="339"/>
      <c r="M387" s="339"/>
      <c r="N387" s="339"/>
      <c r="O387" s="339"/>
      <c r="P387" s="339"/>
      <c r="Q387" s="321"/>
      <c r="R387" s="321"/>
      <c r="S387" s="321"/>
      <c r="T387" s="183"/>
    </row>
    <row r="388" spans="1:20" s="180" customFormat="1" ht="32.1" customHeight="1">
      <c r="A388" s="564" t="s">
        <v>152</v>
      </c>
      <c r="B388" s="565" t="s">
        <v>3064</v>
      </c>
      <c r="C388" s="565" t="s">
        <v>3065</v>
      </c>
      <c r="D388" s="304">
        <v>30</v>
      </c>
      <c r="E388" s="339"/>
      <c r="F388" s="339"/>
      <c r="G388" s="339">
        <v>97.3</v>
      </c>
      <c r="H388" s="339"/>
      <c r="I388" s="339"/>
      <c r="J388" s="339"/>
      <c r="K388" s="339"/>
      <c r="L388" s="339"/>
      <c r="M388" s="339"/>
      <c r="N388" s="339"/>
      <c r="O388" s="339"/>
      <c r="P388" s="339"/>
      <c r="Q388" s="321">
        <f t="shared" si="18"/>
        <v>97.3</v>
      </c>
      <c r="R388" s="321" t="str">
        <f t="shared" si="16"/>
        <v>NO</v>
      </c>
      <c r="S388" s="321" t="str">
        <f t="shared" si="17"/>
        <v>Inviable Sanitariamente</v>
      </c>
      <c r="T388" s="183"/>
    </row>
    <row r="389" spans="1:20" s="180" customFormat="1" ht="32.1" customHeight="1">
      <c r="A389" s="564" t="s">
        <v>152</v>
      </c>
      <c r="B389" s="565" t="s">
        <v>3066</v>
      </c>
      <c r="C389" s="565" t="s">
        <v>3067</v>
      </c>
      <c r="D389" s="304">
        <v>17</v>
      </c>
      <c r="E389" s="339"/>
      <c r="F389" s="339"/>
      <c r="G389" s="339"/>
      <c r="H389" s="339"/>
      <c r="I389" s="339"/>
      <c r="J389" s="339"/>
      <c r="K389" s="339"/>
      <c r="L389" s="339"/>
      <c r="M389" s="339"/>
      <c r="N389" s="339"/>
      <c r="O389" s="339"/>
      <c r="P389" s="339"/>
      <c r="Q389" s="321"/>
      <c r="R389" s="321"/>
      <c r="S389" s="321"/>
      <c r="T389" s="183"/>
    </row>
    <row r="390" spans="1:20" s="180" customFormat="1" ht="32.1" customHeight="1">
      <c r="A390" s="564" t="s">
        <v>152</v>
      </c>
      <c r="B390" s="565" t="s">
        <v>3068</v>
      </c>
      <c r="C390" s="565" t="s">
        <v>3069</v>
      </c>
      <c r="D390" s="304">
        <v>25</v>
      </c>
      <c r="E390" s="339"/>
      <c r="F390" s="339"/>
      <c r="G390" s="339"/>
      <c r="H390" s="339"/>
      <c r="I390" s="339"/>
      <c r="J390" s="339">
        <v>97.3</v>
      </c>
      <c r="K390" s="339"/>
      <c r="L390" s="339"/>
      <c r="M390" s="339"/>
      <c r="N390" s="339"/>
      <c r="O390" s="339"/>
      <c r="P390" s="339"/>
      <c r="Q390" s="321">
        <f t="shared" si="18"/>
        <v>97.3</v>
      </c>
      <c r="R390" s="321" t="str">
        <f t="shared" si="16"/>
        <v>NO</v>
      </c>
      <c r="S390" s="321" t="str">
        <f t="shared" si="17"/>
        <v>Inviable Sanitariamente</v>
      </c>
      <c r="T390" s="183"/>
    </row>
    <row r="391" spans="1:20" s="180" customFormat="1" ht="32.1" customHeight="1">
      <c r="A391" s="564" t="s">
        <v>152</v>
      </c>
      <c r="B391" s="565" t="s">
        <v>3070</v>
      </c>
      <c r="C391" s="565" t="s">
        <v>3071</v>
      </c>
      <c r="D391" s="304">
        <v>35</v>
      </c>
      <c r="E391" s="339"/>
      <c r="F391" s="339"/>
      <c r="G391" s="339"/>
      <c r="H391" s="339">
        <v>97.3</v>
      </c>
      <c r="I391" s="339"/>
      <c r="J391" s="339"/>
      <c r="K391" s="339"/>
      <c r="L391" s="339"/>
      <c r="M391" s="339"/>
      <c r="N391" s="339"/>
      <c r="O391" s="339"/>
      <c r="P391" s="339"/>
      <c r="Q391" s="321">
        <f t="shared" si="18"/>
        <v>97.3</v>
      </c>
      <c r="R391" s="321" t="str">
        <f t="shared" si="16"/>
        <v>NO</v>
      </c>
      <c r="S391" s="321" t="str">
        <f t="shared" si="17"/>
        <v>Inviable Sanitariamente</v>
      </c>
      <c r="T391" s="183"/>
    </row>
    <row r="392" spans="1:20" s="180" customFormat="1" ht="32.1" customHeight="1">
      <c r="A392" s="564" t="s">
        <v>152</v>
      </c>
      <c r="B392" s="565" t="s">
        <v>3072</v>
      </c>
      <c r="C392" s="565" t="s">
        <v>3073</v>
      </c>
      <c r="D392" s="304">
        <v>40</v>
      </c>
      <c r="E392" s="339">
        <v>46.9</v>
      </c>
      <c r="F392" s="339"/>
      <c r="G392" s="339"/>
      <c r="H392" s="339"/>
      <c r="I392" s="339"/>
      <c r="J392" s="339"/>
      <c r="K392" s="339"/>
      <c r="L392" s="339"/>
      <c r="M392" s="339"/>
      <c r="N392" s="339"/>
      <c r="O392" s="339"/>
      <c r="P392" s="339"/>
      <c r="Q392" s="321">
        <f t="shared" si="18"/>
        <v>46.9</v>
      </c>
      <c r="R392" s="321" t="str">
        <f t="shared" si="16"/>
        <v>NO</v>
      </c>
      <c r="S392" s="321" t="str">
        <f t="shared" si="17"/>
        <v>Alto</v>
      </c>
      <c r="T392" s="183"/>
    </row>
    <row r="393" spans="1:20" s="180" customFormat="1" ht="32.1" customHeight="1">
      <c r="A393" s="564" t="s">
        <v>152</v>
      </c>
      <c r="B393" s="565" t="s">
        <v>51</v>
      </c>
      <c r="C393" s="565" t="s">
        <v>3074</v>
      </c>
      <c r="D393" s="304">
        <v>22</v>
      </c>
      <c r="E393" s="339"/>
      <c r="F393" s="339">
        <v>46.9</v>
      </c>
      <c r="G393" s="339"/>
      <c r="H393" s="339"/>
      <c r="I393" s="339"/>
      <c r="J393" s="339"/>
      <c r="K393" s="339"/>
      <c r="L393" s="339"/>
      <c r="M393" s="339"/>
      <c r="N393" s="339"/>
      <c r="O393" s="339"/>
      <c r="P393" s="339"/>
      <c r="Q393" s="321">
        <f t="shared" si="18"/>
        <v>46.9</v>
      </c>
      <c r="R393" s="321" t="str">
        <f t="shared" ref="R393:R456" si="19">IF(Q393&lt;5,"SI","NO")</f>
        <v>NO</v>
      </c>
      <c r="S393" s="321" t="str">
        <f t="shared" si="17"/>
        <v>Alto</v>
      </c>
      <c r="T393" s="183"/>
    </row>
    <row r="394" spans="1:20" s="180" customFormat="1" ht="32.1" customHeight="1">
      <c r="A394" s="564" t="s">
        <v>152</v>
      </c>
      <c r="B394" s="565" t="s">
        <v>1150</v>
      </c>
      <c r="C394" s="565" t="s">
        <v>3075</v>
      </c>
      <c r="D394" s="304">
        <v>12</v>
      </c>
      <c r="E394" s="339"/>
      <c r="F394" s="339"/>
      <c r="G394" s="339"/>
      <c r="H394" s="339"/>
      <c r="I394" s="339"/>
      <c r="J394" s="339"/>
      <c r="K394" s="339"/>
      <c r="L394" s="339"/>
      <c r="M394" s="339"/>
      <c r="N394" s="339"/>
      <c r="O394" s="339"/>
      <c r="P394" s="339"/>
      <c r="Q394" s="321"/>
      <c r="R394" s="321"/>
      <c r="S394" s="321"/>
      <c r="T394" s="183"/>
    </row>
    <row r="395" spans="1:20" s="180" customFormat="1" ht="32.1" customHeight="1">
      <c r="A395" s="564" t="s">
        <v>152</v>
      </c>
      <c r="B395" s="565" t="s">
        <v>3076</v>
      </c>
      <c r="C395" s="565" t="s">
        <v>3077</v>
      </c>
      <c r="D395" s="304">
        <v>17</v>
      </c>
      <c r="E395" s="339"/>
      <c r="F395" s="339"/>
      <c r="G395" s="339"/>
      <c r="H395" s="339"/>
      <c r="I395" s="339"/>
      <c r="J395" s="339"/>
      <c r="K395" s="339"/>
      <c r="L395" s="339"/>
      <c r="M395" s="339"/>
      <c r="N395" s="339"/>
      <c r="O395" s="339"/>
      <c r="P395" s="339"/>
      <c r="Q395" s="321"/>
      <c r="R395" s="321"/>
      <c r="S395" s="321"/>
      <c r="T395" s="183"/>
    </row>
    <row r="396" spans="1:20" s="180" customFormat="1" ht="32.1" customHeight="1">
      <c r="A396" s="564" t="s">
        <v>152</v>
      </c>
      <c r="B396" s="565" t="s">
        <v>3078</v>
      </c>
      <c r="C396" s="565" t="s">
        <v>3079</v>
      </c>
      <c r="D396" s="304">
        <v>50</v>
      </c>
      <c r="E396" s="339"/>
      <c r="F396" s="339"/>
      <c r="G396" s="339"/>
      <c r="H396" s="339">
        <v>97.3</v>
      </c>
      <c r="I396" s="339"/>
      <c r="J396" s="339">
        <v>97.3</v>
      </c>
      <c r="K396" s="339"/>
      <c r="L396" s="339"/>
      <c r="M396" s="339"/>
      <c r="N396" s="339"/>
      <c r="O396" s="339"/>
      <c r="P396" s="339"/>
      <c r="Q396" s="321">
        <f t="shared" si="18"/>
        <v>97.3</v>
      </c>
      <c r="R396" s="321" t="str">
        <f t="shared" si="19"/>
        <v>NO</v>
      </c>
      <c r="S396" s="321" t="str">
        <f t="shared" ref="S396:S457" si="20">IF(Q396&lt;=5,"Sin Riesgo",IF(Q396 &lt;=14,"Bajo",IF(Q396&lt;=35,"Medio",IF(Q396&lt;=80,"Alto","Inviable Sanitariamente"))))</f>
        <v>Inviable Sanitariamente</v>
      </c>
      <c r="T396" s="183"/>
    </row>
    <row r="397" spans="1:20" s="180" customFormat="1" ht="32.1" customHeight="1">
      <c r="A397" s="404" t="s">
        <v>153</v>
      </c>
      <c r="B397" s="302" t="s">
        <v>3080</v>
      </c>
      <c r="C397" s="302" t="s">
        <v>3081</v>
      </c>
      <c r="D397" s="346">
        <v>415</v>
      </c>
      <c r="E397" s="47"/>
      <c r="F397" s="47"/>
      <c r="G397" s="47"/>
      <c r="H397" s="47"/>
      <c r="I397" s="47">
        <v>0</v>
      </c>
      <c r="J397" s="47"/>
      <c r="K397" s="47"/>
      <c r="L397" s="47"/>
      <c r="M397" s="47"/>
      <c r="N397" s="47"/>
      <c r="O397" s="47"/>
      <c r="P397" s="47"/>
      <c r="Q397" s="321">
        <f t="shared" si="18"/>
        <v>0</v>
      </c>
      <c r="R397" s="321" t="str">
        <f t="shared" si="19"/>
        <v>SI</v>
      </c>
      <c r="S397" s="321" t="str">
        <f t="shared" si="20"/>
        <v>Sin Riesgo</v>
      </c>
      <c r="T397" s="183"/>
    </row>
    <row r="398" spans="1:20" s="180" customFormat="1" ht="32.1" customHeight="1">
      <c r="A398" s="404" t="s">
        <v>153</v>
      </c>
      <c r="B398" s="302" t="s">
        <v>3082</v>
      </c>
      <c r="C398" s="302" t="s">
        <v>3083</v>
      </c>
      <c r="D398" s="346">
        <v>142</v>
      </c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>
        <v>53.1</v>
      </c>
      <c r="P398" s="47"/>
      <c r="Q398" s="321">
        <f t="shared" si="18"/>
        <v>53.1</v>
      </c>
      <c r="R398" s="321" t="str">
        <f t="shared" si="19"/>
        <v>NO</v>
      </c>
      <c r="S398" s="321" t="str">
        <f t="shared" si="20"/>
        <v>Alto</v>
      </c>
      <c r="T398" s="183"/>
    </row>
    <row r="399" spans="1:20" s="180" customFormat="1" ht="32.1" customHeight="1">
      <c r="A399" s="404" t="s">
        <v>153</v>
      </c>
      <c r="B399" s="302" t="s">
        <v>70</v>
      </c>
      <c r="C399" s="302" t="s">
        <v>3084</v>
      </c>
      <c r="D399" s="346">
        <v>234</v>
      </c>
      <c r="E399" s="47"/>
      <c r="F399" s="47"/>
      <c r="G399" s="47"/>
      <c r="H399" s="47"/>
      <c r="I399" s="47"/>
      <c r="J399" s="47"/>
      <c r="K399" s="47">
        <v>0</v>
      </c>
      <c r="L399" s="47"/>
      <c r="M399" s="47"/>
      <c r="N399" s="47"/>
      <c r="O399" s="47"/>
      <c r="P399" s="47"/>
      <c r="Q399" s="321">
        <f t="shared" si="18"/>
        <v>0</v>
      </c>
      <c r="R399" s="321" t="str">
        <f t="shared" si="19"/>
        <v>SI</v>
      </c>
      <c r="S399" s="321" t="str">
        <f t="shared" si="20"/>
        <v>Sin Riesgo</v>
      </c>
      <c r="T399" s="183"/>
    </row>
    <row r="400" spans="1:20" s="180" customFormat="1" ht="32.1" customHeight="1">
      <c r="A400" s="404" t="s">
        <v>153</v>
      </c>
      <c r="B400" s="302" t="s">
        <v>3085</v>
      </c>
      <c r="C400" s="302" t="s">
        <v>3086</v>
      </c>
      <c r="D400" s="346">
        <v>200</v>
      </c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>
        <v>53.1</v>
      </c>
      <c r="Q400" s="321">
        <f t="shared" si="18"/>
        <v>53.1</v>
      </c>
      <c r="R400" s="321" t="str">
        <f t="shared" si="19"/>
        <v>NO</v>
      </c>
      <c r="S400" s="321" t="str">
        <f t="shared" si="20"/>
        <v>Alto</v>
      </c>
      <c r="T400" s="183"/>
    </row>
    <row r="401" spans="1:20" s="180" customFormat="1" ht="32.1" customHeight="1">
      <c r="A401" s="404" t="s">
        <v>153</v>
      </c>
      <c r="B401" s="302" t="s">
        <v>3087</v>
      </c>
      <c r="C401" s="302" t="s">
        <v>3088</v>
      </c>
      <c r="D401" s="346">
        <v>143</v>
      </c>
      <c r="E401" s="47"/>
      <c r="F401" s="47"/>
      <c r="G401" s="47"/>
      <c r="H401" s="47"/>
      <c r="I401" s="47"/>
      <c r="J401" s="47"/>
      <c r="K401" s="47">
        <v>53.1</v>
      </c>
      <c r="L401" s="47"/>
      <c r="M401" s="47"/>
      <c r="N401" s="47"/>
      <c r="O401" s="47"/>
      <c r="P401" s="47"/>
      <c r="Q401" s="321">
        <f t="shared" si="18"/>
        <v>53.1</v>
      </c>
      <c r="R401" s="321" t="str">
        <f t="shared" si="19"/>
        <v>NO</v>
      </c>
      <c r="S401" s="321" t="str">
        <f t="shared" si="20"/>
        <v>Alto</v>
      </c>
      <c r="T401" s="183"/>
    </row>
    <row r="402" spans="1:20" s="180" customFormat="1" ht="32.1" customHeight="1">
      <c r="A402" s="404" t="s">
        <v>153</v>
      </c>
      <c r="B402" s="302" t="s">
        <v>2918</v>
      </c>
      <c r="C402" s="302" t="s">
        <v>3089</v>
      </c>
      <c r="D402" s="346">
        <v>60</v>
      </c>
      <c r="E402" s="47"/>
      <c r="F402" s="47"/>
      <c r="G402" s="47"/>
      <c r="H402" s="47"/>
      <c r="I402" s="47"/>
      <c r="J402" s="47"/>
      <c r="K402" s="47">
        <v>53.1</v>
      </c>
      <c r="L402" s="47"/>
      <c r="M402" s="47"/>
      <c r="N402" s="47"/>
      <c r="O402" s="47"/>
      <c r="P402" s="47"/>
      <c r="Q402" s="321">
        <f t="shared" si="18"/>
        <v>53.1</v>
      </c>
      <c r="R402" s="321" t="str">
        <f t="shared" si="19"/>
        <v>NO</v>
      </c>
      <c r="S402" s="321" t="str">
        <f t="shared" si="20"/>
        <v>Alto</v>
      </c>
      <c r="T402" s="183"/>
    </row>
    <row r="403" spans="1:20" s="180" customFormat="1" ht="32.1" customHeight="1">
      <c r="A403" s="404" t="s">
        <v>153</v>
      </c>
      <c r="B403" s="302" t="s">
        <v>441</v>
      </c>
      <c r="C403" s="302" t="s">
        <v>3090</v>
      </c>
      <c r="D403" s="346">
        <v>32</v>
      </c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>
        <v>97</v>
      </c>
      <c r="P403" s="47"/>
      <c r="Q403" s="321">
        <f t="shared" si="18"/>
        <v>97</v>
      </c>
      <c r="R403" s="321" t="str">
        <f t="shared" si="19"/>
        <v>NO</v>
      </c>
      <c r="S403" s="321" t="str">
        <f t="shared" si="20"/>
        <v>Inviable Sanitariamente</v>
      </c>
      <c r="T403" s="183"/>
    </row>
    <row r="404" spans="1:20" s="180" customFormat="1" ht="32.1" customHeight="1">
      <c r="A404" s="404" t="s">
        <v>153</v>
      </c>
      <c r="B404" s="302" t="s">
        <v>3091</v>
      </c>
      <c r="C404" s="302" t="s">
        <v>3092</v>
      </c>
      <c r="D404" s="399">
        <v>16</v>
      </c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>
        <v>97</v>
      </c>
      <c r="Q404" s="321">
        <f t="shared" si="18"/>
        <v>97</v>
      </c>
      <c r="R404" s="321" t="str">
        <f t="shared" si="19"/>
        <v>NO</v>
      </c>
      <c r="S404" s="321" t="str">
        <f t="shared" si="20"/>
        <v>Inviable Sanitariamente</v>
      </c>
      <c r="T404" s="183"/>
    </row>
    <row r="405" spans="1:20" s="180" customFormat="1" ht="32.1" customHeight="1">
      <c r="A405" s="404" t="s">
        <v>153</v>
      </c>
      <c r="B405" s="302" t="s">
        <v>3093</v>
      </c>
      <c r="C405" s="302" t="s">
        <v>3094</v>
      </c>
      <c r="D405" s="399">
        <v>26</v>
      </c>
      <c r="E405" s="422"/>
      <c r="F405" s="422"/>
      <c r="G405" s="422"/>
      <c r="H405" s="422"/>
      <c r="I405" s="422"/>
      <c r="J405" s="422"/>
      <c r="K405" s="422"/>
      <c r="L405" s="422"/>
      <c r="M405" s="422">
        <v>53.1</v>
      </c>
      <c r="N405" s="422"/>
      <c r="O405" s="422"/>
      <c r="P405" s="422"/>
      <c r="Q405" s="321">
        <f t="shared" si="18"/>
        <v>53.1</v>
      </c>
      <c r="R405" s="321" t="str">
        <f t="shared" si="19"/>
        <v>NO</v>
      </c>
      <c r="S405" s="321" t="str">
        <f t="shared" si="20"/>
        <v>Alto</v>
      </c>
      <c r="T405" s="183"/>
    </row>
    <row r="406" spans="1:20" s="180" customFormat="1" ht="32.1" customHeight="1">
      <c r="A406" s="404" t="s">
        <v>153</v>
      </c>
      <c r="B406" s="302" t="s">
        <v>3095</v>
      </c>
      <c r="C406" s="302" t="s">
        <v>3096</v>
      </c>
      <c r="D406" s="346">
        <v>152</v>
      </c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>
        <v>0</v>
      </c>
      <c r="Q406" s="321">
        <f t="shared" si="18"/>
        <v>0</v>
      </c>
      <c r="R406" s="321" t="str">
        <f t="shared" si="19"/>
        <v>SI</v>
      </c>
      <c r="S406" s="321" t="str">
        <f t="shared" si="20"/>
        <v>Sin Riesgo</v>
      </c>
      <c r="T406" s="183"/>
    </row>
    <row r="407" spans="1:20" s="180" customFormat="1" ht="32.1" customHeight="1">
      <c r="A407" s="404" t="s">
        <v>153</v>
      </c>
      <c r="B407" s="302" t="s">
        <v>3097</v>
      </c>
      <c r="C407" s="302" t="s">
        <v>3098</v>
      </c>
      <c r="D407" s="399">
        <v>36</v>
      </c>
      <c r="E407" s="47"/>
      <c r="F407" s="47"/>
      <c r="G407" s="47"/>
      <c r="H407" s="47"/>
      <c r="I407" s="47">
        <v>53.1</v>
      </c>
      <c r="J407" s="47"/>
      <c r="K407" s="47"/>
      <c r="L407" s="47"/>
      <c r="M407" s="47"/>
      <c r="N407" s="47"/>
      <c r="O407" s="47"/>
      <c r="P407" s="47"/>
      <c r="Q407" s="321">
        <f t="shared" si="18"/>
        <v>53.1</v>
      </c>
      <c r="R407" s="321" t="str">
        <f t="shared" si="19"/>
        <v>NO</v>
      </c>
      <c r="S407" s="321" t="str">
        <f t="shared" si="20"/>
        <v>Alto</v>
      </c>
      <c r="T407" s="183"/>
    </row>
    <row r="408" spans="1:20" s="180" customFormat="1" ht="32.1" customHeight="1">
      <c r="A408" s="404" t="s">
        <v>153</v>
      </c>
      <c r="B408" s="302" t="s">
        <v>3099</v>
      </c>
      <c r="C408" s="302" t="s">
        <v>3100</v>
      </c>
      <c r="D408" s="346">
        <v>239</v>
      </c>
      <c r="E408" s="47"/>
      <c r="F408" s="47"/>
      <c r="G408" s="47"/>
      <c r="H408" s="47"/>
      <c r="I408" s="47"/>
      <c r="J408" s="47"/>
      <c r="K408" s="47"/>
      <c r="L408" s="47"/>
      <c r="M408" s="47">
        <v>53.1</v>
      </c>
      <c r="N408" s="47"/>
      <c r="O408" s="47"/>
      <c r="P408" s="47"/>
      <c r="Q408" s="321">
        <f t="shared" ref="Q408:Q461" si="21">AVERAGE(E408:P408)</f>
        <v>53.1</v>
      </c>
      <c r="R408" s="321" t="str">
        <f t="shared" si="19"/>
        <v>NO</v>
      </c>
      <c r="S408" s="321" t="str">
        <f t="shared" si="20"/>
        <v>Alto</v>
      </c>
      <c r="T408" s="183"/>
    </row>
    <row r="409" spans="1:20" s="180" customFormat="1" ht="32.1" customHeight="1">
      <c r="A409" s="404" t="s">
        <v>153</v>
      </c>
      <c r="B409" s="302" t="s">
        <v>3101</v>
      </c>
      <c r="C409" s="302" t="s">
        <v>3102</v>
      </c>
      <c r="D409" s="346">
        <v>40</v>
      </c>
      <c r="E409" s="47"/>
      <c r="F409" s="47"/>
      <c r="G409" s="47"/>
      <c r="H409" s="47"/>
      <c r="I409" s="47"/>
      <c r="J409" s="47"/>
      <c r="K409" s="47"/>
      <c r="L409" s="47">
        <v>53.1</v>
      </c>
      <c r="M409" s="47"/>
      <c r="N409" s="47"/>
      <c r="O409" s="47"/>
      <c r="P409" s="47"/>
      <c r="Q409" s="321">
        <f t="shared" si="21"/>
        <v>53.1</v>
      </c>
      <c r="R409" s="321" t="str">
        <f t="shared" si="19"/>
        <v>NO</v>
      </c>
      <c r="S409" s="321" t="str">
        <f t="shared" si="20"/>
        <v>Alto</v>
      </c>
      <c r="T409" s="183"/>
    </row>
    <row r="410" spans="1:20" s="180" customFormat="1" ht="32.1" customHeight="1">
      <c r="A410" s="404" t="s">
        <v>153</v>
      </c>
      <c r="B410" s="302" t="s">
        <v>631</v>
      </c>
      <c r="C410" s="302" t="s">
        <v>3103</v>
      </c>
      <c r="D410" s="399">
        <v>56</v>
      </c>
      <c r="E410" s="47"/>
      <c r="F410" s="47"/>
      <c r="G410" s="47"/>
      <c r="H410" s="47"/>
      <c r="I410" s="47"/>
      <c r="J410" s="47"/>
      <c r="K410" s="47"/>
      <c r="L410" s="47">
        <v>53.1</v>
      </c>
      <c r="M410" s="47"/>
      <c r="N410" s="47"/>
      <c r="O410" s="47"/>
      <c r="P410" s="47"/>
      <c r="Q410" s="321">
        <f t="shared" si="21"/>
        <v>53.1</v>
      </c>
      <c r="R410" s="321" t="str">
        <f t="shared" si="19"/>
        <v>NO</v>
      </c>
      <c r="S410" s="321" t="str">
        <f t="shared" si="20"/>
        <v>Alto</v>
      </c>
      <c r="T410" s="183"/>
    </row>
    <row r="411" spans="1:20" s="180" customFormat="1" ht="32.1" customHeight="1">
      <c r="A411" s="404" t="s">
        <v>153</v>
      </c>
      <c r="B411" s="302" t="s">
        <v>3104</v>
      </c>
      <c r="C411" s="302" t="s">
        <v>3105</v>
      </c>
      <c r="D411" s="346">
        <v>121</v>
      </c>
      <c r="E411" s="47"/>
      <c r="F411" s="47"/>
      <c r="G411" s="47"/>
      <c r="H411" s="47"/>
      <c r="I411" s="47">
        <v>53.1</v>
      </c>
      <c r="J411" s="47"/>
      <c r="K411" s="47"/>
      <c r="L411" s="47"/>
      <c r="M411" s="47"/>
      <c r="N411" s="47"/>
      <c r="O411" s="47"/>
      <c r="P411" s="47"/>
      <c r="Q411" s="321">
        <f t="shared" si="21"/>
        <v>53.1</v>
      </c>
      <c r="R411" s="321" t="str">
        <f t="shared" si="19"/>
        <v>NO</v>
      </c>
      <c r="S411" s="321" t="str">
        <f t="shared" si="20"/>
        <v>Alto</v>
      </c>
      <c r="T411" s="183"/>
    </row>
    <row r="412" spans="1:20" s="180" customFormat="1" ht="32.1" customHeight="1">
      <c r="A412" s="404" t="s">
        <v>153</v>
      </c>
      <c r="B412" s="302" t="s">
        <v>3106</v>
      </c>
      <c r="C412" s="302" t="s">
        <v>3107</v>
      </c>
      <c r="D412" s="346">
        <v>82</v>
      </c>
      <c r="E412" s="47"/>
      <c r="F412" s="47"/>
      <c r="G412" s="47"/>
      <c r="H412" s="47"/>
      <c r="I412" s="47">
        <v>53.1</v>
      </c>
      <c r="J412" s="47"/>
      <c r="K412" s="47"/>
      <c r="L412" s="47"/>
      <c r="M412" s="47"/>
      <c r="N412" s="47"/>
      <c r="O412" s="47"/>
      <c r="P412" s="47"/>
      <c r="Q412" s="321">
        <f t="shared" si="21"/>
        <v>53.1</v>
      </c>
      <c r="R412" s="321" t="str">
        <f t="shared" si="19"/>
        <v>NO</v>
      </c>
      <c r="S412" s="321" t="str">
        <f t="shared" si="20"/>
        <v>Alto</v>
      </c>
      <c r="T412" s="183"/>
    </row>
    <row r="413" spans="1:20" s="180" customFormat="1" ht="32.1" customHeight="1">
      <c r="A413" s="404" t="s">
        <v>153</v>
      </c>
      <c r="B413" s="302" t="s">
        <v>3108</v>
      </c>
      <c r="C413" s="302" t="s">
        <v>3109</v>
      </c>
      <c r="D413" s="346">
        <v>119</v>
      </c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>
        <v>53.1</v>
      </c>
      <c r="P413" s="47"/>
      <c r="Q413" s="321">
        <f t="shared" si="21"/>
        <v>53.1</v>
      </c>
      <c r="R413" s="321" t="str">
        <f t="shared" si="19"/>
        <v>NO</v>
      </c>
      <c r="S413" s="321" t="str">
        <f t="shared" si="20"/>
        <v>Alto</v>
      </c>
      <c r="T413" s="183"/>
    </row>
    <row r="414" spans="1:20" s="180" customFormat="1" ht="32.1" customHeight="1">
      <c r="A414" s="404" t="s">
        <v>153</v>
      </c>
      <c r="B414" s="302" t="s">
        <v>3110</v>
      </c>
      <c r="C414" s="302" t="s">
        <v>3111</v>
      </c>
      <c r="D414" s="346">
        <v>325</v>
      </c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>
        <v>53.1</v>
      </c>
      <c r="P414" s="47"/>
      <c r="Q414" s="321">
        <f t="shared" si="21"/>
        <v>53.1</v>
      </c>
      <c r="R414" s="321" t="str">
        <f t="shared" si="19"/>
        <v>NO</v>
      </c>
      <c r="S414" s="321" t="str">
        <f t="shared" si="20"/>
        <v>Alto</v>
      </c>
      <c r="T414" s="183"/>
    </row>
    <row r="415" spans="1:20" s="180" customFormat="1" ht="32.1" customHeight="1">
      <c r="A415" s="404" t="s">
        <v>153</v>
      </c>
      <c r="B415" s="302" t="s">
        <v>3112</v>
      </c>
      <c r="C415" s="302" t="s">
        <v>3113</v>
      </c>
      <c r="D415" s="346">
        <v>30</v>
      </c>
      <c r="E415" s="47"/>
      <c r="F415" s="47"/>
      <c r="G415" s="47"/>
      <c r="H415" s="47"/>
      <c r="I415" s="47"/>
      <c r="J415" s="47"/>
      <c r="K415" s="47">
        <v>53.1</v>
      </c>
      <c r="L415" s="47"/>
      <c r="M415" s="47"/>
      <c r="N415" s="47"/>
      <c r="O415" s="47"/>
      <c r="P415" s="47"/>
      <c r="Q415" s="321">
        <f t="shared" si="21"/>
        <v>53.1</v>
      </c>
      <c r="R415" s="321" t="str">
        <f t="shared" si="19"/>
        <v>NO</v>
      </c>
      <c r="S415" s="321" t="str">
        <f t="shared" si="20"/>
        <v>Alto</v>
      </c>
      <c r="T415" s="183"/>
    </row>
    <row r="416" spans="1:20" s="180" customFormat="1" ht="32.1" customHeight="1">
      <c r="A416" s="562" t="s">
        <v>153</v>
      </c>
      <c r="B416" s="563" t="s">
        <v>3114</v>
      </c>
      <c r="C416" s="563" t="s">
        <v>3115</v>
      </c>
      <c r="D416" s="346">
        <v>45</v>
      </c>
      <c r="E416" s="47"/>
      <c r="F416" s="47"/>
      <c r="G416" s="47"/>
      <c r="H416" s="47"/>
      <c r="I416" s="47"/>
      <c r="J416" s="47"/>
      <c r="K416" s="47"/>
      <c r="L416" s="47"/>
      <c r="M416" s="47"/>
      <c r="N416" s="47">
        <v>53.1</v>
      </c>
      <c r="O416" s="47"/>
      <c r="P416" s="47"/>
      <c r="Q416" s="321">
        <f t="shared" si="21"/>
        <v>53.1</v>
      </c>
      <c r="R416" s="321" t="str">
        <f t="shared" si="19"/>
        <v>NO</v>
      </c>
      <c r="S416" s="321" t="str">
        <f t="shared" si="20"/>
        <v>Alto</v>
      </c>
      <c r="T416" s="183"/>
    </row>
    <row r="417" spans="1:20" s="180" customFormat="1" ht="32.1" customHeight="1">
      <c r="A417" s="404" t="s">
        <v>153</v>
      </c>
      <c r="B417" s="302" t="s">
        <v>3116</v>
      </c>
      <c r="C417" s="302" t="s">
        <v>3117</v>
      </c>
      <c r="D417" s="346">
        <v>140</v>
      </c>
      <c r="E417" s="47"/>
      <c r="F417" s="47"/>
      <c r="G417" s="47"/>
      <c r="H417" s="47"/>
      <c r="I417" s="47"/>
      <c r="J417" s="47"/>
      <c r="K417" s="47"/>
      <c r="L417" s="47">
        <v>53.1</v>
      </c>
      <c r="M417" s="47"/>
      <c r="N417" s="47"/>
      <c r="O417" s="47"/>
      <c r="P417" s="47"/>
      <c r="Q417" s="321">
        <f t="shared" si="21"/>
        <v>53.1</v>
      </c>
      <c r="R417" s="321" t="str">
        <f t="shared" si="19"/>
        <v>NO</v>
      </c>
      <c r="S417" s="321" t="str">
        <f t="shared" si="20"/>
        <v>Alto</v>
      </c>
      <c r="T417" s="183"/>
    </row>
    <row r="418" spans="1:20" s="180" customFormat="1" ht="32.1" customHeight="1">
      <c r="A418" s="404" t="s">
        <v>153</v>
      </c>
      <c r="B418" s="302" t="s">
        <v>3118</v>
      </c>
      <c r="C418" s="302" t="s">
        <v>3119</v>
      </c>
      <c r="D418" s="346">
        <v>311</v>
      </c>
      <c r="E418" s="47"/>
      <c r="F418" s="47"/>
      <c r="G418" s="47"/>
      <c r="H418" s="47"/>
      <c r="I418" s="47"/>
      <c r="J418" s="47"/>
      <c r="K418" s="47">
        <v>53.1</v>
      </c>
      <c r="L418" s="47"/>
      <c r="M418" s="47"/>
      <c r="N418" s="47"/>
      <c r="O418" s="47"/>
      <c r="P418" s="47"/>
      <c r="Q418" s="321">
        <f t="shared" si="21"/>
        <v>53.1</v>
      </c>
      <c r="R418" s="321" t="str">
        <f t="shared" si="19"/>
        <v>NO</v>
      </c>
      <c r="S418" s="321" t="str">
        <f t="shared" si="20"/>
        <v>Alto</v>
      </c>
      <c r="T418" s="183"/>
    </row>
    <row r="419" spans="1:20" s="180" customFormat="1" ht="32.1" customHeight="1">
      <c r="A419" s="404" t="s">
        <v>153</v>
      </c>
      <c r="B419" s="302" t="s">
        <v>3120</v>
      </c>
      <c r="C419" s="302" t="s">
        <v>3121</v>
      </c>
      <c r="D419" s="346">
        <v>40</v>
      </c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>
        <v>53.1</v>
      </c>
      <c r="P419" s="47"/>
      <c r="Q419" s="321">
        <f t="shared" si="21"/>
        <v>53.1</v>
      </c>
      <c r="R419" s="321" t="str">
        <f t="shared" si="19"/>
        <v>NO</v>
      </c>
      <c r="S419" s="321" t="str">
        <f t="shared" si="20"/>
        <v>Alto</v>
      </c>
      <c r="T419" s="183"/>
    </row>
    <row r="420" spans="1:20" s="180" customFormat="1" ht="32.1" customHeight="1">
      <c r="A420" s="404" t="s">
        <v>153</v>
      </c>
      <c r="B420" s="302" t="s">
        <v>1003</v>
      </c>
      <c r="C420" s="302" t="s">
        <v>3122</v>
      </c>
      <c r="D420" s="346">
        <v>60</v>
      </c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>
        <v>97</v>
      </c>
      <c r="P420" s="47"/>
      <c r="Q420" s="321">
        <f t="shared" si="21"/>
        <v>97</v>
      </c>
      <c r="R420" s="321" t="str">
        <f t="shared" si="19"/>
        <v>NO</v>
      </c>
      <c r="S420" s="321" t="str">
        <f t="shared" si="20"/>
        <v>Inviable Sanitariamente</v>
      </c>
      <c r="T420" s="183"/>
    </row>
    <row r="421" spans="1:20" s="180" customFormat="1" ht="32.1" customHeight="1">
      <c r="A421" s="404" t="s">
        <v>153</v>
      </c>
      <c r="B421" s="302" t="s">
        <v>3123</v>
      </c>
      <c r="C421" s="302" t="s">
        <v>3124</v>
      </c>
      <c r="D421" s="346">
        <v>185</v>
      </c>
      <c r="E421" s="47"/>
      <c r="F421" s="47"/>
      <c r="G421" s="47"/>
      <c r="H421" s="47"/>
      <c r="I421" s="47"/>
      <c r="J421" s="47"/>
      <c r="K421" s="47">
        <v>53.1</v>
      </c>
      <c r="L421" s="47"/>
      <c r="M421" s="47"/>
      <c r="N421" s="47"/>
      <c r="O421" s="47"/>
      <c r="P421" s="47"/>
      <c r="Q421" s="321">
        <f t="shared" si="21"/>
        <v>53.1</v>
      </c>
      <c r="R421" s="321" t="str">
        <f t="shared" si="19"/>
        <v>NO</v>
      </c>
      <c r="S421" s="321" t="str">
        <f t="shared" si="20"/>
        <v>Alto</v>
      </c>
      <c r="T421" s="183"/>
    </row>
    <row r="422" spans="1:20" s="180" customFormat="1" ht="32.1" customHeight="1">
      <c r="A422" s="404" t="s">
        <v>153</v>
      </c>
      <c r="B422" s="302" t="s">
        <v>3125</v>
      </c>
      <c r="C422" s="302" t="s">
        <v>3126</v>
      </c>
      <c r="D422" s="346">
        <v>46</v>
      </c>
      <c r="E422" s="47"/>
      <c r="F422" s="47"/>
      <c r="G422" s="47"/>
      <c r="H422" s="47"/>
      <c r="I422" s="47"/>
      <c r="J422" s="47"/>
      <c r="K422" s="47"/>
      <c r="L422" s="47">
        <v>53.1</v>
      </c>
      <c r="M422" s="47"/>
      <c r="N422" s="47"/>
      <c r="O422" s="47"/>
      <c r="P422" s="47"/>
      <c r="Q422" s="321">
        <f t="shared" si="21"/>
        <v>53.1</v>
      </c>
      <c r="R422" s="321" t="str">
        <f t="shared" si="19"/>
        <v>NO</v>
      </c>
      <c r="S422" s="321" t="str">
        <f t="shared" si="20"/>
        <v>Alto</v>
      </c>
      <c r="T422" s="183"/>
    </row>
    <row r="423" spans="1:20" s="180" customFormat="1" ht="32.1" customHeight="1">
      <c r="A423" s="404" t="s">
        <v>153</v>
      </c>
      <c r="B423" s="302" t="s">
        <v>3127</v>
      </c>
      <c r="C423" s="302" t="s">
        <v>3128</v>
      </c>
      <c r="D423" s="346">
        <v>28</v>
      </c>
      <c r="E423" s="47"/>
      <c r="F423" s="47"/>
      <c r="G423" s="47"/>
      <c r="H423" s="47"/>
      <c r="I423" s="47">
        <v>53.1</v>
      </c>
      <c r="J423" s="47"/>
      <c r="K423" s="47"/>
      <c r="L423" s="47"/>
      <c r="M423" s="47"/>
      <c r="N423" s="47"/>
      <c r="O423" s="47"/>
      <c r="P423" s="47"/>
      <c r="Q423" s="321">
        <f t="shared" si="21"/>
        <v>53.1</v>
      </c>
      <c r="R423" s="321" t="str">
        <f t="shared" si="19"/>
        <v>NO</v>
      </c>
      <c r="S423" s="321" t="str">
        <f t="shared" si="20"/>
        <v>Alto</v>
      </c>
      <c r="T423" s="183"/>
    </row>
    <row r="424" spans="1:20" s="180" customFormat="1" ht="32.1" customHeight="1">
      <c r="A424" s="404" t="s">
        <v>153</v>
      </c>
      <c r="B424" s="302" t="s">
        <v>3129</v>
      </c>
      <c r="C424" s="302" t="s">
        <v>3130</v>
      </c>
      <c r="D424" s="346">
        <v>31</v>
      </c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>
        <v>53.1</v>
      </c>
      <c r="P424" s="47"/>
      <c r="Q424" s="321">
        <f t="shared" si="21"/>
        <v>53.1</v>
      </c>
      <c r="R424" s="321" t="str">
        <f t="shared" si="19"/>
        <v>NO</v>
      </c>
      <c r="S424" s="321" t="str">
        <f t="shared" si="20"/>
        <v>Alto</v>
      </c>
      <c r="T424" s="183"/>
    </row>
    <row r="425" spans="1:20" s="180" customFormat="1" ht="32.1" customHeight="1">
      <c r="A425" s="404" t="s">
        <v>3131</v>
      </c>
      <c r="B425" s="302" t="s">
        <v>2035</v>
      </c>
      <c r="C425" s="302" t="s">
        <v>2599</v>
      </c>
      <c r="D425" s="418">
        <v>123</v>
      </c>
      <c r="E425" s="407"/>
      <c r="F425" s="407">
        <v>96.39</v>
      </c>
      <c r="G425" s="407"/>
      <c r="H425" s="407"/>
      <c r="I425" s="407"/>
      <c r="J425" s="407"/>
      <c r="K425" s="407"/>
      <c r="L425" s="407"/>
      <c r="M425" s="407">
        <v>96.844999999999999</v>
      </c>
      <c r="N425" s="407"/>
      <c r="O425" s="407"/>
      <c r="P425" s="407"/>
      <c r="Q425" s="321">
        <f t="shared" si="21"/>
        <v>96.617500000000007</v>
      </c>
      <c r="R425" s="321" t="str">
        <f t="shared" si="19"/>
        <v>NO</v>
      </c>
      <c r="S425" s="321" t="str">
        <f t="shared" si="20"/>
        <v>Inviable Sanitariamente</v>
      </c>
      <c r="T425" s="183"/>
    </row>
    <row r="426" spans="1:20" s="180" customFormat="1" ht="32.1" customHeight="1">
      <c r="A426" s="404" t="s">
        <v>3131</v>
      </c>
      <c r="B426" s="302" t="s">
        <v>2017</v>
      </c>
      <c r="C426" s="302" t="s">
        <v>3132</v>
      </c>
      <c r="D426" s="418">
        <v>73</v>
      </c>
      <c r="E426" s="407"/>
      <c r="F426" s="407"/>
      <c r="G426" s="407"/>
      <c r="H426" s="407"/>
      <c r="I426" s="407"/>
      <c r="J426" s="407">
        <v>96.39</v>
      </c>
      <c r="K426" s="407"/>
      <c r="L426" s="407"/>
      <c r="M426" s="407"/>
      <c r="N426" s="407">
        <v>96.844999999999999</v>
      </c>
      <c r="O426" s="407"/>
      <c r="P426" s="407"/>
      <c r="Q426" s="321">
        <f t="shared" si="21"/>
        <v>96.617500000000007</v>
      </c>
      <c r="R426" s="321" t="str">
        <f t="shared" si="19"/>
        <v>NO</v>
      </c>
      <c r="S426" s="321" t="str">
        <f t="shared" si="20"/>
        <v>Inviable Sanitariamente</v>
      </c>
      <c r="T426" s="183"/>
    </row>
    <row r="427" spans="1:20" s="180" customFormat="1" ht="32.1" customHeight="1">
      <c r="A427" s="404" t="s">
        <v>3131</v>
      </c>
      <c r="B427" s="302" t="s">
        <v>3133</v>
      </c>
      <c r="C427" s="302" t="s">
        <v>3134</v>
      </c>
      <c r="D427" s="419">
        <v>63</v>
      </c>
      <c r="E427" s="407"/>
      <c r="F427" s="407">
        <v>96.39</v>
      </c>
      <c r="G427" s="407"/>
      <c r="H427" s="407"/>
      <c r="I427" s="407"/>
      <c r="J427" s="407"/>
      <c r="K427" s="407"/>
      <c r="L427" s="407"/>
      <c r="M427" s="407">
        <v>96.844999999999999</v>
      </c>
      <c r="N427" s="407"/>
      <c r="O427" s="407"/>
      <c r="P427" s="407"/>
      <c r="Q427" s="321">
        <f t="shared" si="21"/>
        <v>96.617500000000007</v>
      </c>
      <c r="R427" s="321" t="str">
        <f t="shared" si="19"/>
        <v>NO</v>
      </c>
      <c r="S427" s="321" t="str">
        <f t="shared" si="20"/>
        <v>Inviable Sanitariamente</v>
      </c>
      <c r="T427" s="183"/>
    </row>
    <row r="428" spans="1:20" s="180" customFormat="1" ht="32.1" customHeight="1">
      <c r="A428" s="404" t="s">
        <v>3131</v>
      </c>
      <c r="B428" s="302" t="s">
        <v>3135</v>
      </c>
      <c r="C428" s="302" t="s">
        <v>3136</v>
      </c>
      <c r="D428" s="418">
        <v>38</v>
      </c>
      <c r="E428" s="407"/>
      <c r="F428" s="407"/>
      <c r="G428" s="407"/>
      <c r="H428" s="407">
        <v>96.39</v>
      </c>
      <c r="I428" s="407"/>
      <c r="J428" s="407"/>
      <c r="K428" s="407"/>
      <c r="L428" s="407"/>
      <c r="M428" s="407"/>
      <c r="N428" s="407"/>
      <c r="O428" s="407">
        <v>96.844999999999999</v>
      </c>
      <c r="P428" s="407"/>
      <c r="Q428" s="321">
        <f t="shared" si="21"/>
        <v>96.617500000000007</v>
      </c>
      <c r="R428" s="321" t="str">
        <f t="shared" si="19"/>
        <v>NO</v>
      </c>
      <c r="S428" s="321" t="str">
        <f t="shared" si="20"/>
        <v>Inviable Sanitariamente</v>
      </c>
      <c r="T428" s="183"/>
    </row>
    <row r="429" spans="1:20" s="180" customFormat="1" ht="32.1" customHeight="1">
      <c r="A429" s="404" t="s">
        <v>3131</v>
      </c>
      <c r="B429" s="302" t="s">
        <v>3021</v>
      </c>
      <c r="C429" s="302" t="s">
        <v>3137</v>
      </c>
      <c r="D429" s="418">
        <v>40</v>
      </c>
      <c r="E429" s="407"/>
      <c r="F429" s="407"/>
      <c r="G429" s="407"/>
      <c r="H429" s="407"/>
      <c r="I429" s="407"/>
      <c r="J429" s="407">
        <v>96.39</v>
      </c>
      <c r="K429" s="407"/>
      <c r="L429" s="407"/>
      <c r="M429" s="407"/>
      <c r="N429" s="407">
        <v>96.844999999999999</v>
      </c>
      <c r="O429" s="407"/>
      <c r="P429" s="407"/>
      <c r="Q429" s="321">
        <f t="shared" si="21"/>
        <v>96.617500000000007</v>
      </c>
      <c r="R429" s="321" t="str">
        <f t="shared" si="19"/>
        <v>NO</v>
      </c>
      <c r="S429" s="321" t="str">
        <f t="shared" si="20"/>
        <v>Inviable Sanitariamente</v>
      </c>
      <c r="T429" s="183"/>
    </row>
    <row r="430" spans="1:20" s="180" customFormat="1" ht="32.1" customHeight="1">
      <c r="A430" s="404" t="s">
        <v>3131</v>
      </c>
      <c r="B430" s="302" t="s">
        <v>2649</v>
      </c>
      <c r="C430" s="302" t="s">
        <v>3138</v>
      </c>
      <c r="D430" s="418">
        <v>50</v>
      </c>
      <c r="E430" s="407"/>
      <c r="F430" s="407">
        <v>96.39</v>
      </c>
      <c r="G430" s="407"/>
      <c r="H430" s="407"/>
      <c r="I430" s="407"/>
      <c r="J430" s="407"/>
      <c r="K430" s="407"/>
      <c r="L430" s="407"/>
      <c r="M430" s="407">
        <v>96.844999999999999</v>
      </c>
      <c r="N430" s="407"/>
      <c r="O430" s="407"/>
      <c r="P430" s="407"/>
      <c r="Q430" s="321">
        <f t="shared" si="21"/>
        <v>96.617500000000007</v>
      </c>
      <c r="R430" s="321" t="str">
        <f t="shared" si="19"/>
        <v>NO</v>
      </c>
      <c r="S430" s="321" t="str">
        <f t="shared" si="20"/>
        <v>Inviable Sanitariamente</v>
      </c>
      <c r="T430" s="183"/>
    </row>
    <row r="431" spans="1:20" s="180" customFormat="1" ht="32.1" customHeight="1">
      <c r="A431" s="404" t="s">
        <v>3131</v>
      </c>
      <c r="B431" s="302" t="s">
        <v>3139</v>
      </c>
      <c r="C431" s="302" t="s">
        <v>3140</v>
      </c>
      <c r="D431" s="418">
        <v>65</v>
      </c>
      <c r="E431" s="407"/>
      <c r="F431" s="407">
        <v>96.39</v>
      </c>
      <c r="G431" s="407"/>
      <c r="H431" s="407"/>
      <c r="I431" s="407"/>
      <c r="J431" s="407"/>
      <c r="K431" s="407"/>
      <c r="L431" s="407"/>
      <c r="M431" s="407"/>
      <c r="N431" s="407"/>
      <c r="O431" s="407">
        <v>96.844999999999999</v>
      </c>
      <c r="P431" s="407"/>
      <c r="Q431" s="321">
        <f t="shared" si="21"/>
        <v>96.617500000000007</v>
      </c>
      <c r="R431" s="321" t="str">
        <f t="shared" si="19"/>
        <v>NO</v>
      </c>
      <c r="S431" s="321" t="str">
        <f t="shared" si="20"/>
        <v>Inviable Sanitariamente</v>
      </c>
      <c r="T431" s="183"/>
    </row>
    <row r="432" spans="1:20" s="180" customFormat="1" ht="32.1" customHeight="1">
      <c r="A432" s="404" t="s">
        <v>3131</v>
      </c>
      <c r="B432" s="302" t="s">
        <v>3141</v>
      </c>
      <c r="C432" s="302" t="s">
        <v>3142</v>
      </c>
      <c r="D432" s="418">
        <v>95</v>
      </c>
      <c r="E432" s="407"/>
      <c r="F432" s="407"/>
      <c r="G432" s="407"/>
      <c r="H432" s="407">
        <v>96.4</v>
      </c>
      <c r="I432" s="407"/>
      <c r="J432" s="407"/>
      <c r="K432" s="407"/>
      <c r="L432" s="407"/>
      <c r="M432" s="407"/>
      <c r="N432" s="407"/>
      <c r="O432" s="407"/>
      <c r="P432" s="407">
        <v>96.844999999999999</v>
      </c>
      <c r="Q432" s="321">
        <f t="shared" si="21"/>
        <v>96.622500000000002</v>
      </c>
      <c r="R432" s="321" t="str">
        <f t="shared" si="19"/>
        <v>NO</v>
      </c>
      <c r="S432" s="321" t="str">
        <f t="shared" si="20"/>
        <v>Inviable Sanitariamente</v>
      </c>
      <c r="T432" s="183"/>
    </row>
    <row r="433" spans="1:20" s="180" customFormat="1" ht="32.1" customHeight="1">
      <c r="A433" s="404" t="s">
        <v>3131</v>
      </c>
      <c r="B433" s="302" t="s">
        <v>3143</v>
      </c>
      <c r="C433" s="302" t="s">
        <v>3144</v>
      </c>
      <c r="D433" s="418">
        <v>27</v>
      </c>
      <c r="E433" s="407"/>
      <c r="F433" s="407"/>
      <c r="G433" s="407"/>
      <c r="H433" s="407"/>
      <c r="I433" s="407">
        <v>0</v>
      </c>
      <c r="J433" s="407"/>
      <c r="K433" s="407"/>
      <c r="L433" s="407"/>
      <c r="M433" s="407"/>
      <c r="N433" s="407"/>
      <c r="O433" s="407"/>
      <c r="P433" s="407">
        <v>0</v>
      </c>
      <c r="Q433" s="321">
        <f t="shared" si="21"/>
        <v>0</v>
      </c>
      <c r="R433" s="321" t="str">
        <f t="shared" si="19"/>
        <v>SI</v>
      </c>
      <c r="S433" s="321" t="str">
        <f t="shared" si="20"/>
        <v>Sin Riesgo</v>
      </c>
      <c r="T433" s="183"/>
    </row>
    <row r="434" spans="1:20" s="180" customFormat="1" ht="32.1" customHeight="1">
      <c r="A434" s="404" t="s">
        <v>3131</v>
      </c>
      <c r="B434" s="302" t="s">
        <v>2434</v>
      </c>
      <c r="C434" s="302" t="s">
        <v>3145</v>
      </c>
      <c r="D434" s="419">
        <v>152</v>
      </c>
      <c r="E434" s="407"/>
      <c r="F434" s="407"/>
      <c r="G434" s="407">
        <v>0</v>
      </c>
      <c r="H434" s="407"/>
      <c r="I434" s="407"/>
      <c r="J434" s="407"/>
      <c r="K434" s="407"/>
      <c r="L434" s="407"/>
      <c r="M434" s="407"/>
      <c r="N434" s="407"/>
      <c r="O434" s="407"/>
      <c r="P434" s="407">
        <v>0</v>
      </c>
      <c r="Q434" s="321">
        <f t="shared" si="21"/>
        <v>0</v>
      </c>
      <c r="R434" s="321" t="str">
        <f t="shared" si="19"/>
        <v>SI</v>
      </c>
      <c r="S434" s="321" t="str">
        <f t="shared" si="20"/>
        <v>Sin Riesgo</v>
      </c>
      <c r="T434" s="183"/>
    </row>
    <row r="435" spans="1:20" s="180" customFormat="1" ht="32.1" customHeight="1">
      <c r="A435" s="404" t="s">
        <v>3131</v>
      </c>
      <c r="B435" s="302" t="s">
        <v>3146</v>
      </c>
      <c r="C435" s="302" t="s">
        <v>3147</v>
      </c>
      <c r="D435" s="418">
        <v>31</v>
      </c>
      <c r="E435" s="407"/>
      <c r="F435" s="407"/>
      <c r="G435" s="407"/>
      <c r="H435" s="407">
        <v>96.39</v>
      </c>
      <c r="I435" s="407"/>
      <c r="J435" s="407"/>
      <c r="K435" s="407"/>
      <c r="L435" s="407"/>
      <c r="M435" s="407"/>
      <c r="N435" s="407"/>
      <c r="O435" s="407">
        <v>96.844999999999999</v>
      </c>
      <c r="P435" s="407"/>
      <c r="Q435" s="321">
        <f t="shared" si="21"/>
        <v>96.617500000000007</v>
      </c>
      <c r="R435" s="321" t="str">
        <f t="shared" si="19"/>
        <v>NO</v>
      </c>
      <c r="S435" s="321" t="str">
        <f t="shared" si="20"/>
        <v>Inviable Sanitariamente</v>
      </c>
      <c r="T435" s="183"/>
    </row>
    <row r="436" spans="1:20" s="180" customFormat="1" ht="32.1" customHeight="1">
      <c r="A436" s="404" t="s">
        <v>3131</v>
      </c>
      <c r="B436" s="302" t="s">
        <v>3148</v>
      </c>
      <c r="C436" s="302" t="s">
        <v>3149</v>
      </c>
      <c r="D436" s="418">
        <v>20</v>
      </c>
      <c r="E436" s="407"/>
      <c r="F436" s="407"/>
      <c r="G436" s="407"/>
      <c r="H436" s="407">
        <v>96.39</v>
      </c>
      <c r="I436" s="407"/>
      <c r="J436" s="407"/>
      <c r="K436" s="407"/>
      <c r="L436" s="407"/>
      <c r="M436" s="407"/>
      <c r="N436" s="407"/>
      <c r="O436" s="407">
        <v>96.844999999999999</v>
      </c>
      <c r="P436" s="407"/>
      <c r="Q436" s="321">
        <f t="shared" si="21"/>
        <v>96.617500000000007</v>
      </c>
      <c r="R436" s="321" t="str">
        <f t="shared" si="19"/>
        <v>NO</v>
      </c>
      <c r="S436" s="321" t="str">
        <f t="shared" si="20"/>
        <v>Inviable Sanitariamente</v>
      </c>
      <c r="T436" s="183"/>
    </row>
    <row r="437" spans="1:20" s="180" customFormat="1" ht="32.1" customHeight="1">
      <c r="A437" s="404" t="s">
        <v>3131</v>
      </c>
      <c r="B437" s="302" t="s">
        <v>3150</v>
      </c>
      <c r="C437" s="302" t="s">
        <v>3151</v>
      </c>
      <c r="D437" s="418">
        <v>31</v>
      </c>
      <c r="E437" s="407"/>
      <c r="F437" s="407"/>
      <c r="G437" s="407"/>
      <c r="H437" s="407"/>
      <c r="I437" s="407"/>
      <c r="J437" s="407">
        <v>96.844999999999999</v>
      </c>
      <c r="K437" s="407"/>
      <c r="L437" s="407"/>
      <c r="M437" s="407">
        <v>96.844999999999999</v>
      </c>
      <c r="N437" s="407"/>
      <c r="O437" s="407"/>
      <c r="P437" s="407"/>
      <c r="Q437" s="321">
        <f t="shared" si="21"/>
        <v>96.844999999999999</v>
      </c>
      <c r="R437" s="321" t="str">
        <f t="shared" si="19"/>
        <v>NO</v>
      </c>
      <c r="S437" s="321" t="str">
        <f t="shared" si="20"/>
        <v>Inviable Sanitariamente</v>
      </c>
      <c r="T437" s="183"/>
    </row>
    <row r="438" spans="1:20" s="180" customFormat="1" ht="32.1" customHeight="1">
      <c r="A438" s="404" t="s">
        <v>3131</v>
      </c>
      <c r="B438" s="302" t="s">
        <v>583</v>
      </c>
      <c r="C438" s="302" t="s">
        <v>3152</v>
      </c>
      <c r="D438" s="418">
        <v>40</v>
      </c>
      <c r="E438" s="407"/>
      <c r="F438" s="407"/>
      <c r="G438" s="407">
        <v>96.39</v>
      </c>
      <c r="H438" s="407"/>
      <c r="I438" s="407"/>
      <c r="J438" s="407"/>
      <c r="K438" s="407"/>
      <c r="L438" s="407"/>
      <c r="M438" s="407"/>
      <c r="N438" s="407"/>
      <c r="O438" s="407">
        <v>96.844999999999999</v>
      </c>
      <c r="P438" s="407"/>
      <c r="Q438" s="321">
        <f t="shared" si="21"/>
        <v>96.617500000000007</v>
      </c>
      <c r="R438" s="321" t="str">
        <f t="shared" si="19"/>
        <v>NO</v>
      </c>
      <c r="S438" s="321" t="str">
        <f t="shared" si="20"/>
        <v>Inviable Sanitariamente</v>
      </c>
      <c r="T438" s="183"/>
    </row>
    <row r="439" spans="1:20" s="180" customFormat="1" ht="32.1" customHeight="1">
      <c r="A439" s="404" t="s">
        <v>3131</v>
      </c>
      <c r="B439" s="302" t="s">
        <v>3153</v>
      </c>
      <c r="C439" s="302" t="s">
        <v>3154</v>
      </c>
      <c r="D439" s="418">
        <v>16</v>
      </c>
      <c r="E439" s="407"/>
      <c r="F439" s="407"/>
      <c r="G439" s="407"/>
      <c r="H439" s="407"/>
      <c r="I439" s="407"/>
      <c r="J439" s="407">
        <v>96.34</v>
      </c>
      <c r="K439" s="407"/>
      <c r="L439" s="407"/>
      <c r="M439" s="407">
        <v>96.844999999999999</v>
      </c>
      <c r="N439" s="407"/>
      <c r="O439" s="407"/>
      <c r="P439" s="407"/>
      <c r="Q439" s="321">
        <f t="shared" si="21"/>
        <v>96.592500000000001</v>
      </c>
      <c r="R439" s="321" t="str">
        <f t="shared" si="19"/>
        <v>NO</v>
      </c>
      <c r="S439" s="321" t="str">
        <f t="shared" si="20"/>
        <v>Inviable Sanitariamente</v>
      </c>
      <c r="T439" s="183"/>
    </row>
    <row r="440" spans="1:20" s="180" customFormat="1" ht="32.1" customHeight="1">
      <c r="A440" s="404" t="s">
        <v>3131</v>
      </c>
      <c r="B440" s="302" t="s">
        <v>2802</v>
      </c>
      <c r="C440" s="302" t="s">
        <v>3155</v>
      </c>
      <c r="D440" s="418">
        <v>42</v>
      </c>
      <c r="E440" s="407"/>
      <c r="F440" s="407"/>
      <c r="G440" s="407">
        <v>96.39</v>
      </c>
      <c r="H440" s="407"/>
      <c r="I440" s="407"/>
      <c r="J440" s="407"/>
      <c r="K440" s="407"/>
      <c r="L440" s="407"/>
      <c r="M440" s="407"/>
      <c r="N440" s="407"/>
      <c r="O440" s="407">
        <v>96.844999999999999</v>
      </c>
      <c r="P440" s="407"/>
      <c r="Q440" s="321">
        <f t="shared" si="21"/>
        <v>96.617500000000007</v>
      </c>
      <c r="R440" s="321" t="str">
        <f t="shared" si="19"/>
        <v>NO</v>
      </c>
      <c r="S440" s="321" t="str">
        <f t="shared" si="20"/>
        <v>Inviable Sanitariamente</v>
      </c>
      <c r="T440" s="183"/>
    </row>
    <row r="441" spans="1:20" s="180" customFormat="1" ht="32.1" customHeight="1">
      <c r="A441" s="404" t="s">
        <v>3131</v>
      </c>
      <c r="B441" s="302" t="s">
        <v>3156</v>
      </c>
      <c r="C441" s="302" t="s">
        <v>3157</v>
      </c>
      <c r="D441" s="418">
        <v>19</v>
      </c>
      <c r="E441" s="407"/>
      <c r="F441" s="407">
        <v>96.39</v>
      </c>
      <c r="G441" s="407"/>
      <c r="H441" s="407"/>
      <c r="I441" s="407"/>
      <c r="J441" s="407"/>
      <c r="K441" s="407"/>
      <c r="L441" s="407"/>
      <c r="M441" s="407"/>
      <c r="N441" s="407"/>
      <c r="O441" s="407"/>
      <c r="P441" s="407">
        <v>96.844999999999999</v>
      </c>
      <c r="Q441" s="321">
        <f t="shared" si="21"/>
        <v>96.617500000000007</v>
      </c>
      <c r="R441" s="321" t="str">
        <f t="shared" si="19"/>
        <v>NO</v>
      </c>
      <c r="S441" s="321" t="str">
        <f t="shared" si="20"/>
        <v>Inviable Sanitariamente</v>
      </c>
      <c r="T441" s="183"/>
    </row>
    <row r="442" spans="1:20" s="180" customFormat="1" ht="32.1" customHeight="1">
      <c r="A442" s="404" t="s">
        <v>3131</v>
      </c>
      <c r="B442" s="302" t="s">
        <v>3158</v>
      </c>
      <c r="C442" s="302" t="s">
        <v>3159</v>
      </c>
      <c r="D442" s="418">
        <v>85</v>
      </c>
      <c r="E442" s="407"/>
      <c r="F442" s="407">
        <v>96.39</v>
      </c>
      <c r="G442" s="407"/>
      <c r="H442" s="407"/>
      <c r="I442" s="407"/>
      <c r="J442" s="407"/>
      <c r="K442" s="407"/>
      <c r="L442" s="407"/>
      <c r="M442" s="407"/>
      <c r="N442" s="407">
        <v>96.844999999999999</v>
      </c>
      <c r="O442" s="407"/>
      <c r="P442" s="407"/>
      <c r="Q442" s="321">
        <f t="shared" si="21"/>
        <v>96.617500000000007</v>
      </c>
      <c r="R442" s="321" t="str">
        <f t="shared" si="19"/>
        <v>NO</v>
      </c>
      <c r="S442" s="321" t="str">
        <f t="shared" si="20"/>
        <v>Inviable Sanitariamente</v>
      </c>
      <c r="T442" s="183"/>
    </row>
    <row r="443" spans="1:20" s="180" customFormat="1" ht="32.1" customHeight="1">
      <c r="A443" s="404" t="s">
        <v>3131</v>
      </c>
      <c r="B443" s="302" t="s">
        <v>3160</v>
      </c>
      <c r="C443" s="302" t="s">
        <v>3161</v>
      </c>
      <c r="D443" s="418">
        <v>67</v>
      </c>
      <c r="E443" s="407"/>
      <c r="F443" s="407"/>
      <c r="G443" s="407"/>
      <c r="H443" s="407"/>
      <c r="I443" s="407">
        <v>96.39</v>
      </c>
      <c r="J443" s="407"/>
      <c r="K443" s="407"/>
      <c r="L443" s="407"/>
      <c r="M443" s="407"/>
      <c r="N443" s="407"/>
      <c r="O443" s="407">
        <v>96.844999999999999</v>
      </c>
      <c r="P443" s="407"/>
      <c r="Q443" s="321">
        <f t="shared" si="21"/>
        <v>96.617500000000007</v>
      </c>
      <c r="R443" s="321" t="str">
        <f t="shared" si="19"/>
        <v>NO</v>
      </c>
      <c r="S443" s="321" t="str">
        <f t="shared" si="20"/>
        <v>Inviable Sanitariamente</v>
      </c>
      <c r="T443" s="183"/>
    </row>
    <row r="444" spans="1:20" s="180" customFormat="1" ht="32.1" customHeight="1">
      <c r="A444" s="404" t="s">
        <v>3131</v>
      </c>
      <c r="B444" s="302" t="s">
        <v>3162</v>
      </c>
      <c r="C444" s="302" t="s">
        <v>3163</v>
      </c>
      <c r="D444" s="418">
        <v>125</v>
      </c>
      <c r="E444" s="407"/>
      <c r="F444" s="407">
        <v>96.39</v>
      </c>
      <c r="G444" s="407"/>
      <c r="H444" s="407"/>
      <c r="I444" s="407"/>
      <c r="J444" s="407"/>
      <c r="K444" s="407"/>
      <c r="L444" s="407"/>
      <c r="M444" s="407"/>
      <c r="N444" s="407"/>
      <c r="O444" s="407">
        <v>96.844999999999999</v>
      </c>
      <c r="P444" s="407"/>
      <c r="Q444" s="321">
        <f t="shared" si="21"/>
        <v>96.617500000000007</v>
      </c>
      <c r="R444" s="321" t="str">
        <f t="shared" si="19"/>
        <v>NO</v>
      </c>
      <c r="S444" s="321" t="str">
        <f t="shared" si="20"/>
        <v>Inviable Sanitariamente</v>
      </c>
      <c r="T444" s="183"/>
    </row>
    <row r="445" spans="1:20" s="180" customFormat="1" ht="32.1" customHeight="1">
      <c r="A445" s="404" t="s">
        <v>3131</v>
      </c>
      <c r="B445" s="302" t="s">
        <v>1075</v>
      </c>
      <c r="C445" s="302" t="s">
        <v>3164</v>
      </c>
      <c r="D445" s="418">
        <v>96</v>
      </c>
      <c r="E445" s="407"/>
      <c r="F445" s="407">
        <v>96.39</v>
      </c>
      <c r="G445" s="407"/>
      <c r="H445" s="407"/>
      <c r="I445" s="407"/>
      <c r="J445" s="407"/>
      <c r="K445" s="407"/>
      <c r="L445" s="407"/>
      <c r="M445" s="407">
        <v>96.844999999999999</v>
      </c>
      <c r="N445" s="407"/>
      <c r="O445" s="407"/>
      <c r="P445" s="407"/>
      <c r="Q445" s="321">
        <f t="shared" si="21"/>
        <v>96.617500000000007</v>
      </c>
      <c r="R445" s="321" t="str">
        <f t="shared" si="19"/>
        <v>NO</v>
      </c>
      <c r="S445" s="321" t="str">
        <f t="shared" si="20"/>
        <v>Inviable Sanitariamente</v>
      </c>
      <c r="T445" s="183"/>
    </row>
    <row r="446" spans="1:20" s="180" customFormat="1" ht="32.1" customHeight="1">
      <c r="A446" s="404" t="s">
        <v>3131</v>
      </c>
      <c r="B446" s="302" t="s">
        <v>3165</v>
      </c>
      <c r="C446" s="302" t="s">
        <v>3166</v>
      </c>
      <c r="D446" s="418">
        <v>104</v>
      </c>
      <c r="E446" s="407"/>
      <c r="F446" s="407"/>
      <c r="G446" s="407">
        <v>96.39</v>
      </c>
      <c r="H446" s="407"/>
      <c r="I446" s="407"/>
      <c r="J446" s="407"/>
      <c r="K446" s="407"/>
      <c r="L446" s="407"/>
      <c r="M446" s="407">
        <v>96.844999999999999</v>
      </c>
      <c r="N446" s="407"/>
      <c r="O446" s="407"/>
      <c r="P446" s="407"/>
      <c r="Q446" s="321">
        <f t="shared" si="21"/>
        <v>96.617500000000007</v>
      </c>
      <c r="R446" s="321" t="str">
        <f t="shared" si="19"/>
        <v>NO</v>
      </c>
      <c r="S446" s="321" t="str">
        <f t="shared" si="20"/>
        <v>Inviable Sanitariamente</v>
      </c>
      <c r="T446" s="183"/>
    </row>
    <row r="447" spans="1:20" s="180" customFormat="1" ht="32.1" customHeight="1">
      <c r="A447" s="404" t="s">
        <v>3131</v>
      </c>
      <c r="B447" s="302" t="s">
        <v>652</v>
      </c>
      <c r="C447" s="302" t="s">
        <v>3167</v>
      </c>
      <c r="D447" s="418">
        <v>25</v>
      </c>
      <c r="E447" s="407"/>
      <c r="F447" s="407"/>
      <c r="G447" s="407"/>
      <c r="H447" s="407"/>
      <c r="I447" s="407"/>
      <c r="J447" s="407">
        <v>96.844999999999999</v>
      </c>
      <c r="K447" s="407"/>
      <c r="L447" s="407"/>
      <c r="M447" s="407"/>
      <c r="N447" s="407"/>
      <c r="O447" s="407"/>
      <c r="P447" s="407">
        <v>96.844999999999999</v>
      </c>
      <c r="Q447" s="321">
        <f t="shared" si="21"/>
        <v>96.844999999999999</v>
      </c>
      <c r="R447" s="321" t="str">
        <f t="shared" si="19"/>
        <v>NO</v>
      </c>
      <c r="S447" s="321" t="str">
        <f t="shared" si="20"/>
        <v>Inviable Sanitariamente</v>
      </c>
      <c r="T447" s="183"/>
    </row>
    <row r="448" spans="1:20" s="180" customFormat="1" ht="32.1" customHeight="1">
      <c r="A448" s="404" t="s">
        <v>3131</v>
      </c>
      <c r="B448" s="302" t="s">
        <v>3168</v>
      </c>
      <c r="C448" s="302" t="s">
        <v>3169</v>
      </c>
      <c r="D448" s="418">
        <v>10</v>
      </c>
      <c r="E448" s="407"/>
      <c r="F448" s="407"/>
      <c r="G448" s="407"/>
      <c r="H448" s="407"/>
      <c r="I448" s="407"/>
      <c r="J448" s="407">
        <v>96.34</v>
      </c>
      <c r="K448" s="407"/>
      <c r="L448" s="407"/>
      <c r="M448" s="407">
        <v>96.844999999999999</v>
      </c>
      <c r="N448" s="407"/>
      <c r="O448" s="407"/>
      <c r="P448" s="407"/>
      <c r="Q448" s="321">
        <f t="shared" si="21"/>
        <v>96.592500000000001</v>
      </c>
      <c r="R448" s="321" t="str">
        <f t="shared" si="19"/>
        <v>NO</v>
      </c>
      <c r="S448" s="321" t="str">
        <f t="shared" si="20"/>
        <v>Inviable Sanitariamente</v>
      </c>
      <c r="T448" s="183"/>
    </row>
    <row r="449" spans="1:20" s="180" customFormat="1" ht="32.1" customHeight="1">
      <c r="A449" s="404" t="s">
        <v>3131</v>
      </c>
      <c r="B449" s="302" t="s">
        <v>3170</v>
      </c>
      <c r="C449" s="302" t="s">
        <v>3171</v>
      </c>
      <c r="D449" s="418">
        <v>68</v>
      </c>
      <c r="E449" s="407"/>
      <c r="F449" s="407">
        <v>96.39</v>
      </c>
      <c r="G449" s="407"/>
      <c r="H449" s="407"/>
      <c r="I449" s="407"/>
      <c r="J449" s="407"/>
      <c r="K449" s="407"/>
      <c r="L449" s="407"/>
      <c r="M449" s="407"/>
      <c r="N449" s="407">
        <v>96.844999999999999</v>
      </c>
      <c r="O449" s="407"/>
      <c r="P449" s="407"/>
      <c r="Q449" s="321">
        <f t="shared" si="21"/>
        <v>96.617500000000007</v>
      </c>
      <c r="R449" s="321" t="str">
        <f t="shared" si="19"/>
        <v>NO</v>
      </c>
      <c r="S449" s="321" t="str">
        <f t="shared" si="20"/>
        <v>Inviable Sanitariamente</v>
      </c>
      <c r="T449" s="183"/>
    </row>
    <row r="450" spans="1:20" s="180" customFormat="1" ht="32.1" customHeight="1">
      <c r="A450" s="404" t="s">
        <v>3131</v>
      </c>
      <c r="B450" s="302" t="s">
        <v>3172</v>
      </c>
      <c r="C450" s="302" t="s">
        <v>3173</v>
      </c>
      <c r="D450" s="418">
        <v>25</v>
      </c>
      <c r="E450" s="407"/>
      <c r="F450" s="407"/>
      <c r="G450" s="407"/>
      <c r="H450" s="407"/>
      <c r="I450" s="407"/>
      <c r="J450" s="407">
        <v>96.844999999999999</v>
      </c>
      <c r="K450" s="407"/>
      <c r="L450" s="407"/>
      <c r="M450" s="407"/>
      <c r="N450" s="407">
        <v>96.844999999999999</v>
      </c>
      <c r="O450" s="407"/>
      <c r="P450" s="407"/>
      <c r="Q450" s="321">
        <f t="shared" si="21"/>
        <v>96.844999999999999</v>
      </c>
      <c r="R450" s="321" t="str">
        <f t="shared" si="19"/>
        <v>NO</v>
      </c>
      <c r="S450" s="321" t="str">
        <f t="shared" si="20"/>
        <v>Inviable Sanitariamente</v>
      </c>
      <c r="T450" s="183"/>
    </row>
    <row r="451" spans="1:20" s="180" customFormat="1" ht="32.1" customHeight="1">
      <c r="A451" s="404" t="s">
        <v>3131</v>
      </c>
      <c r="B451" s="302" t="s">
        <v>3174</v>
      </c>
      <c r="C451" s="302" t="s">
        <v>3175</v>
      </c>
      <c r="D451" s="418">
        <v>45</v>
      </c>
      <c r="E451" s="407"/>
      <c r="F451" s="407">
        <v>96.39</v>
      </c>
      <c r="G451" s="407"/>
      <c r="H451" s="407"/>
      <c r="I451" s="407"/>
      <c r="J451" s="407"/>
      <c r="K451" s="407"/>
      <c r="L451" s="407"/>
      <c r="M451" s="407"/>
      <c r="N451" s="407"/>
      <c r="O451" s="407">
        <v>96.844999999999999</v>
      </c>
      <c r="P451" s="407"/>
      <c r="Q451" s="321">
        <f t="shared" si="21"/>
        <v>96.617500000000007</v>
      </c>
      <c r="R451" s="321" t="str">
        <f t="shared" si="19"/>
        <v>NO</v>
      </c>
      <c r="S451" s="321" t="str">
        <f t="shared" si="20"/>
        <v>Inviable Sanitariamente</v>
      </c>
      <c r="T451" s="183"/>
    </row>
    <row r="452" spans="1:20" s="180" customFormat="1" ht="32.1" customHeight="1">
      <c r="A452" s="404" t="s">
        <v>3131</v>
      </c>
      <c r="B452" s="302" t="s">
        <v>3176</v>
      </c>
      <c r="C452" s="302" t="s">
        <v>3177</v>
      </c>
      <c r="D452" s="418">
        <v>40</v>
      </c>
      <c r="E452" s="407"/>
      <c r="F452" s="407"/>
      <c r="G452" s="407"/>
      <c r="H452" s="407">
        <v>96.39</v>
      </c>
      <c r="I452" s="407"/>
      <c r="J452" s="407"/>
      <c r="K452" s="407"/>
      <c r="L452" s="407"/>
      <c r="M452" s="407"/>
      <c r="N452" s="407">
        <v>96.844999999999999</v>
      </c>
      <c r="O452" s="407"/>
      <c r="P452" s="407"/>
      <c r="Q452" s="321">
        <f t="shared" si="21"/>
        <v>96.617500000000007</v>
      </c>
      <c r="R452" s="321" t="str">
        <f t="shared" si="19"/>
        <v>NO</v>
      </c>
      <c r="S452" s="321" t="str">
        <f t="shared" si="20"/>
        <v>Inviable Sanitariamente</v>
      </c>
      <c r="T452" s="183"/>
    </row>
    <row r="453" spans="1:20" s="180" customFormat="1" ht="32.1" customHeight="1">
      <c r="A453" s="404" t="s">
        <v>3131</v>
      </c>
      <c r="B453" s="302" t="s">
        <v>3178</v>
      </c>
      <c r="C453" s="302" t="s">
        <v>3179</v>
      </c>
      <c r="D453" s="418">
        <v>62</v>
      </c>
      <c r="E453" s="407"/>
      <c r="F453" s="407"/>
      <c r="G453" s="407"/>
      <c r="H453" s="407"/>
      <c r="I453" s="407"/>
      <c r="J453" s="407">
        <v>96.39</v>
      </c>
      <c r="K453" s="407"/>
      <c r="L453" s="407"/>
      <c r="M453" s="407"/>
      <c r="N453" s="407"/>
      <c r="O453" s="407">
        <v>96.844999999999999</v>
      </c>
      <c r="P453" s="407"/>
      <c r="Q453" s="321">
        <f t="shared" si="21"/>
        <v>96.617500000000007</v>
      </c>
      <c r="R453" s="321" t="str">
        <f t="shared" si="19"/>
        <v>NO</v>
      </c>
      <c r="S453" s="321" t="str">
        <f t="shared" si="20"/>
        <v>Inviable Sanitariamente</v>
      </c>
      <c r="T453" s="183"/>
    </row>
    <row r="454" spans="1:20" s="180" customFormat="1" ht="32.1" customHeight="1">
      <c r="A454" s="404" t="s">
        <v>3131</v>
      </c>
      <c r="B454" s="302" t="s">
        <v>3180</v>
      </c>
      <c r="C454" s="302" t="s">
        <v>3181</v>
      </c>
      <c r="D454" s="418">
        <v>65</v>
      </c>
      <c r="E454" s="407"/>
      <c r="F454" s="407"/>
      <c r="G454" s="407"/>
      <c r="H454" s="407"/>
      <c r="I454" s="407"/>
      <c r="J454" s="407">
        <v>70.8</v>
      </c>
      <c r="K454" s="407"/>
      <c r="L454" s="407"/>
      <c r="M454" s="407"/>
      <c r="N454" s="407"/>
      <c r="O454" s="407">
        <v>96.844999999999999</v>
      </c>
      <c r="P454" s="407"/>
      <c r="Q454" s="321">
        <f t="shared" si="21"/>
        <v>83.822499999999991</v>
      </c>
      <c r="R454" s="321" t="str">
        <f t="shared" si="19"/>
        <v>NO</v>
      </c>
      <c r="S454" s="321" t="str">
        <f t="shared" si="20"/>
        <v>Inviable Sanitariamente</v>
      </c>
      <c r="T454" s="183"/>
    </row>
    <row r="455" spans="1:20" s="180" customFormat="1" ht="32.1" customHeight="1">
      <c r="A455" s="404" t="s">
        <v>3131</v>
      </c>
      <c r="B455" s="302" t="s">
        <v>3182</v>
      </c>
      <c r="C455" s="302" t="s">
        <v>3183</v>
      </c>
      <c r="D455" s="419">
        <v>90</v>
      </c>
      <c r="E455" s="407"/>
      <c r="F455" s="407">
        <v>96.39</v>
      </c>
      <c r="G455" s="407"/>
      <c r="H455" s="407"/>
      <c r="I455" s="407"/>
      <c r="J455" s="407"/>
      <c r="K455" s="407"/>
      <c r="L455" s="407"/>
      <c r="M455" s="407">
        <v>96.844999999999999</v>
      </c>
      <c r="N455" s="407"/>
      <c r="O455" s="407"/>
      <c r="P455" s="407"/>
      <c r="Q455" s="321">
        <f t="shared" si="21"/>
        <v>96.617500000000007</v>
      </c>
      <c r="R455" s="321" t="str">
        <f t="shared" si="19"/>
        <v>NO</v>
      </c>
      <c r="S455" s="321" t="str">
        <f t="shared" si="20"/>
        <v>Inviable Sanitariamente</v>
      </c>
      <c r="T455" s="183"/>
    </row>
    <row r="456" spans="1:20" s="180" customFormat="1" ht="32.1" customHeight="1">
      <c r="A456" s="404" t="s">
        <v>3131</v>
      </c>
      <c r="B456" s="302" t="s">
        <v>2685</v>
      </c>
      <c r="C456" s="302" t="s">
        <v>3184</v>
      </c>
      <c r="D456" s="418">
        <v>32</v>
      </c>
      <c r="E456" s="407"/>
      <c r="F456" s="407"/>
      <c r="G456" s="407"/>
      <c r="H456" s="407"/>
      <c r="I456" s="407"/>
      <c r="J456" s="407">
        <v>96.844999999999999</v>
      </c>
      <c r="K456" s="407"/>
      <c r="L456" s="407"/>
      <c r="M456" s="407"/>
      <c r="N456" s="407">
        <v>96.844999999999999</v>
      </c>
      <c r="O456" s="407"/>
      <c r="P456" s="407"/>
      <c r="Q456" s="321">
        <f t="shared" si="21"/>
        <v>96.844999999999999</v>
      </c>
      <c r="R456" s="321" t="str">
        <f t="shared" si="19"/>
        <v>NO</v>
      </c>
      <c r="S456" s="321" t="str">
        <f t="shared" si="20"/>
        <v>Inviable Sanitariamente</v>
      </c>
      <c r="T456" s="183"/>
    </row>
    <row r="457" spans="1:20" s="180" customFormat="1" ht="32.1" customHeight="1">
      <c r="A457" s="404" t="s">
        <v>3131</v>
      </c>
      <c r="B457" s="302" t="s">
        <v>3185</v>
      </c>
      <c r="C457" s="302" t="s">
        <v>3186</v>
      </c>
      <c r="D457" s="418">
        <v>179</v>
      </c>
      <c r="E457" s="407"/>
      <c r="F457" s="407"/>
      <c r="G457" s="407"/>
      <c r="H457" s="407"/>
      <c r="I457" s="407">
        <v>0</v>
      </c>
      <c r="J457" s="407"/>
      <c r="K457" s="407"/>
      <c r="L457" s="407"/>
      <c r="M457" s="407"/>
      <c r="N457" s="407"/>
      <c r="O457" s="407"/>
      <c r="P457" s="407">
        <v>0</v>
      </c>
      <c r="Q457" s="321">
        <f t="shared" si="21"/>
        <v>0</v>
      </c>
      <c r="R457" s="321" t="str">
        <f t="shared" ref="R457:R503" si="22">IF(Q457&lt;5,"SI","NO")</f>
        <v>SI</v>
      </c>
      <c r="S457" s="321" t="str">
        <f t="shared" si="20"/>
        <v>Sin Riesgo</v>
      </c>
      <c r="T457" s="183"/>
    </row>
    <row r="458" spans="1:20" s="185" customFormat="1" ht="32.1" customHeight="1">
      <c r="A458" s="404" t="s">
        <v>3131</v>
      </c>
      <c r="B458" s="302" t="s">
        <v>3187</v>
      </c>
      <c r="C458" s="302" t="s">
        <v>3188</v>
      </c>
      <c r="D458" s="418">
        <v>162</v>
      </c>
      <c r="E458" s="407"/>
      <c r="F458" s="407"/>
      <c r="G458" s="407">
        <v>0</v>
      </c>
      <c r="H458" s="407"/>
      <c r="I458" s="407"/>
      <c r="J458" s="407"/>
      <c r="K458" s="407"/>
      <c r="L458" s="407"/>
      <c r="M458" s="407"/>
      <c r="N458" s="407"/>
      <c r="O458" s="407"/>
      <c r="P458" s="407">
        <v>0</v>
      </c>
      <c r="Q458" s="321">
        <f t="shared" si="21"/>
        <v>0</v>
      </c>
      <c r="R458" s="321" t="str">
        <f t="shared" si="22"/>
        <v>SI</v>
      </c>
      <c r="S458" s="321" t="str">
        <f t="shared" ref="S458:S503" si="23">IF(Q458&lt;=5,"Sin Riesgo",IF(Q458 &lt;=14,"Bajo",IF(Q458&lt;=35,"Medio",IF(Q458&lt;=80,"Alto","Inviable Sanitariamente"))))</f>
        <v>Sin Riesgo</v>
      </c>
      <c r="T458" s="184"/>
    </row>
    <row r="459" spans="1:20" ht="32.1" customHeight="1">
      <c r="A459" s="404" t="s">
        <v>3131</v>
      </c>
      <c r="B459" s="302" t="s">
        <v>2708</v>
      </c>
      <c r="C459" s="302" t="s">
        <v>3189</v>
      </c>
      <c r="D459" s="418">
        <v>355</v>
      </c>
      <c r="E459" s="407"/>
      <c r="F459" s="407"/>
      <c r="G459" s="407">
        <v>0</v>
      </c>
      <c r="H459" s="407"/>
      <c r="I459" s="407">
        <v>0</v>
      </c>
      <c r="J459" s="407"/>
      <c r="K459" s="407"/>
      <c r="L459" s="407"/>
      <c r="M459" s="407"/>
      <c r="N459" s="407"/>
      <c r="O459" s="407"/>
      <c r="P459" s="407">
        <v>0</v>
      </c>
      <c r="Q459" s="321">
        <f t="shared" si="21"/>
        <v>0</v>
      </c>
      <c r="R459" s="321" t="str">
        <f t="shared" si="22"/>
        <v>SI</v>
      </c>
      <c r="S459" s="321" t="str">
        <f t="shared" si="23"/>
        <v>Sin Riesgo</v>
      </c>
      <c r="T459" s="184"/>
    </row>
    <row r="460" spans="1:20" ht="32.1" customHeight="1">
      <c r="A460" s="404" t="s">
        <v>3131</v>
      </c>
      <c r="B460" s="302" t="s">
        <v>3190</v>
      </c>
      <c r="C460" s="302" t="s">
        <v>3191</v>
      </c>
      <c r="D460" s="418">
        <v>69</v>
      </c>
      <c r="E460" s="407"/>
      <c r="F460" s="407"/>
      <c r="G460" s="407">
        <v>0</v>
      </c>
      <c r="H460" s="407"/>
      <c r="I460" s="407"/>
      <c r="J460" s="407"/>
      <c r="K460" s="407"/>
      <c r="L460" s="407"/>
      <c r="M460" s="407"/>
      <c r="N460" s="407"/>
      <c r="O460" s="407"/>
      <c r="P460" s="407">
        <v>0</v>
      </c>
      <c r="Q460" s="321">
        <f t="shared" si="21"/>
        <v>0</v>
      </c>
      <c r="R460" s="321" t="str">
        <f t="shared" si="22"/>
        <v>SI</v>
      </c>
      <c r="S460" s="321" t="str">
        <f t="shared" si="23"/>
        <v>Sin Riesgo</v>
      </c>
      <c r="T460" s="184"/>
    </row>
    <row r="461" spans="1:20" ht="32.1" customHeight="1">
      <c r="A461" s="404" t="s">
        <v>3131</v>
      </c>
      <c r="B461" s="302" t="s">
        <v>3192</v>
      </c>
      <c r="C461" s="302" t="s">
        <v>3193</v>
      </c>
      <c r="D461" s="418">
        <v>78</v>
      </c>
      <c r="E461" s="407"/>
      <c r="F461" s="407">
        <v>96.39</v>
      </c>
      <c r="G461" s="407"/>
      <c r="H461" s="407"/>
      <c r="I461" s="407"/>
      <c r="J461" s="407"/>
      <c r="K461" s="407"/>
      <c r="L461" s="407"/>
      <c r="M461" s="407"/>
      <c r="N461" s="407">
        <v>96.844999999999999</v>
      </c>
      <c r="O461" s="407"/>
      <c r="P461" s="407"/>
      <c r="Q461" s="321">
        <f t="shared" si="21"/>
        <v>96.617500000000007</v>
      </c>
      <c r="R461" s="321" t="str">
        <f t="shared" si="22"/>
        <v>NO</v>
      </c>
      <c r="S461" s="321" t="str">
        <f t="shared" si="23"/>
        <v>Inviable Sanitariamente</v>
      </c>
      <c r="T461" s="184"/>
    </row>
    <row r="462" spans="1:20" ht="32.1" customHeight="1">
      <c r="A462" s="404" t="s">
        <v>3879</v>
      </c>
      <c r="B462" s="302" t="s">
        <v>3195</v>
      </c>
      <c r="C462" s="302" t="s">
        <v>3196</v>
      </c>
      <c r="D462" s="346">
        <v>125</v>
      </c>
      <c r="E462" s="407"/>
      <c r="F462" s="407"/>
      <c r="G462" s="407"/>
      <c r="H462" s="407"/>
      <c r="I462" s="407">
        <v>97.84</v>
      </c>
      <c r="J462" s="407"/>
      <c r="K462" s="407"/>
      <c r="L462" s="407">
        <v>88</v>
      </c>
      <c r="M462" s="407"/>
      <c r="N462" s="407"/>
      <c r="O462" s="407"/>
      <c r="P462" s="407"/>
      <c r="Q462" s="424">
        <f>AVERAGE(E462:P462)</f>
        <v>92.92</v>
      </c>
      <c r="R462" s="321" t="str">
        <f t="shared" si="22"/>
        <v>NO</v>
      </c>
      <c r="S462" s="321" t="str">
        <f t="shared" si="23"/>
        <v>Inviable Sanitariamente</v>
      </c>
      <c r="T462" s="184"/>
    </row>
    <row r="463" spans="1:20" ht="32.1" customHeight="1">
      <c r="A463" s="404" t="s">
        <v>3879</v>
      </c>
      <c r="B463" s="302" t="s">
        <v>809</v>
      </c>
      <c r="C463" s="302" t="s">
        <v>3197</v>
      </c>
      <c r="D463" s="346">
        <v>17</v>
      </c>
      <c r="E463" s="407"/>
      <c r="F463" s="407"/>
      <c r="G463" s="407"/>
      <c r="H463" s="407"/>
      <c r="I463" s="407"/>
      <c r="J463" s="407"/>
      <c r="K463" s="407"/>
      <c r="L463" s="407"/>
      <c r="M463" s="407"/>
      <c r="N463" s="407"/>
      <c r="O463" s="407"/>
      <c r="P463" s="407">
        <v>64</v>
      </c>
      <c r="Q463" s="424">
        <f t="shared" ref="Q463:Q503" si="24">AVERAGE(E463:P463)</f>
        <v>64</v>
      </c>
      <c r="R463" s="321" t="str">
        <f t="shared" si="22"/>
        <v>NO</v>
      </c>
      <c r="S463" s="321" t="str">
        <f t="shared" si="23"/>
        <v>Alto</v>
      </c>
      <c r="T463" s="184"/>
    </row>
    <row r="464" spans="1:20" ht="32.1" customHeight="1">
      <c r="A464" s="404" t="s">
        <v>3879</v>
      </c>
      <c r="B464" s="302" t="s">
        <v>3198</v>
      </c>
      <c r="C464" s="302" t="s">
        <v>3199</v>
      </c>
      <c r="D464" s="346">
        <v>70</v>
      </c>
      <c r="E464" s="407"/>
      <c r="F464" s="407"/>
      <c r="G464" s="407"/>
      <c r="H464" s="407"/>
      <c r="I464" s="407"/>
      <c r="J464" s="407">
        <v>97.35</v>
      </c>
      <c r="K464" s="407"/>
      <c r="L464" s="407"/>
      <c r="M464" s="407">
        <v>88</v>
      </c>
      <c r="N464" s="407"/>
      <c r="O464" s="407"/>
      <c r="P464" s="407">
        <v>97.6</v>
      </c>
      <c r="Q464" s="424">
        <f t="shared" si="24"/>
        <v>94.316666666666663</v>
      </c>
      <c r="R464" s="321" t="str">
        <f t="shared" si="22"/>
        <v>NO</v>
      </c>
      <c r="S464" s="321" t="str">
        <f t="shared" si="23"/>
        <v>Inviable Sanitariamente</v>
      </c>
      <c r="T464" s="184"/>
    </row>
    <row r="465" spans="1:20" ht="32.1" customHeight="1">
      <c r="A465" s="404" t="s">
        <v>3879</v>
      </c>
      <c r="B465" s="302" t="s">
        <v>3200</v>
      </c>
      <c r="C465" s="302" t="s">
        <v>3201</v>
      </c>
      <c r="D465" s="346">
        <v>110</v>
      </c>
      <c r="E465" s="407"/>
      <c r="F465" s="407"/>
      <c r="G465" s="407">
        <v>70.8</v>
      </c>
      <c r="H465" s="407"/>
      <c r="I465" s="407">
        <v>0</v>
      </c>
      <c r="J465" s="407">
        <v>53.1</v>
      </c>
      <c r="K465" s="407">
        <v>53.1</v>
      </c>
      <c r="L465" s="407"/>
      <c r="M465" s="407"/>
      <c r="N465" s="407"/>
      <c r="O465" s="407"/>
      <c r="P465" s="407">
        <v>0</v>
      </c>
      <c r="Q465" s="424">
        <f t="shared" si="24"/>
        <v>35.4</v>
      </c>
      <c r="R465" s="321" t="str">
        <f t="shared" si="22"/>
        <v>NO</v>
      </c>
      <c r="S465" s="321" t="str">
        <f t="shared" si="23"/>
        <v>Alto</v>
      </c>
      <c r="T465" s="184"/>
    </row>
    <row r="466" spans="1:20" ht="32.1" customHeight="1">
      <c r="A466" s="404" t="s">
        <v>3879</v>
      </c>
      <c r="B466" s="302" t="s">
        <v>3202</v>
      </c>
      <c r="C466" s="302" t="s">
        <v>3203</v>
      </c>
      <c r="D466" s="346">
        <v>160</v>
      </c>
      <c r="E466" s="407"/>
      <c r="F466" s="407"/>
      <c r="G466" s="407"/>
      <c r="H466" s="407"/>
      <c r="I466" s="407"/>
      <c r="J466" s="407"/>
      <c r="K466" s="407">
        <v>64</v>
      </c>
      <c r="L466" s="407"/>
      <c r="M466" s="407">
        <v>97.6</v>
      </c>
      <c r="N466" s="407"/>
      <c r="O466" s="407"/>
      <c r="P466" s="407">
        <v>88</v>
      </c>
      <c r="Q466" s="424">
        <f t="shared" si="24"/>
        <v>83.2</v>
      </c>
      <c r="R466" s="321" t="str">
        <f t="shared" si="22"/>
        <v>NO</v>
      </c>
      <c r="S466" s="321" t="str">
        <f t="shared" si="23"/>
        <v>Inviable Sanitariamente</v>
      </c>
      <c r="T466" s="184"/>
    </row>
    <row r="467" spans="1:20" ht="32.1" customHeight="1">
      <c r="A467" s="404" t="s">
        <v>3879</v>
      </c>
      <c r="B467" s="302" t="s">
        <v>3204</v>
      </c>
      <c r="C467" s="302" t="s">
        <v>3205</v>
      </c>
      <c r="D467" s="346">
        <v>68</v>
      </c>
      <c r="E467" s="407"/>
      <c r="F467" s="407"/>
      <c r="G467" s="407"/>
      <c r="H467" s="407"/>
      <c r="I467" s="407"/>
      <c r="J467" s="407"/>
      <c r="K467" s="407"/>
      <c r="L467" s="407"/>
      <c r="M467" s="407"/>
      <c r="N467" s="407"/>
      <c r="O467" s="407"/>
      <c r="P467" s="407">
        <v>64</v>
      </c>
      <c r="Q467" s="424">
        <f t="shared" si="24"/>
        <v>64</v>
      </c>
      <c r="R467" s="321" t="str">
        <f t="shared" si="22"/>
        <v>NO</v>
      </c>
      <c r="S467" s="321" t="str">
        <f t="shared" si="23"/>
        <v>Alto</v>
      </c>
      <c r="T467" s="184"/>
    </row>
    <row r="468" spans="1:20" ht="32.1" customHeight="1">
      <c r="A468" s="404" t="s">
        <v>3879</v>
      </c>
      <c r="B468" s="302" t="s">
        <v>3206</v>
      </c>
      <c r="C468" s="302" t="s">
        <v>3207</v>
      </c>
      <c r="D468" s="346">
        <v>117</v>
      </c>
      <c r="E468" s="407"/>
      <c r="F468" s="407"/>
      <c r="G468" s="407">
        <v>97.35</v>
      </c>
      <c r="H468" s="407">
        <v>0</v>
      </c>
      <c r="I468" s="407">
        <v>0</v>
      </c>
      <c r="J468" s="407">
        <v>0</v>
      </c>
      <c r="K468" s="407">
        <v>64</v>
      </c>
      <c r="L468" s="407"/>
      <c r="M468" s="407">
        <v>24</v>
      </c>
      <c r="N468" s="407"/>
      <c r="O468" s="407"/>
      <c r="P468" s="407">
        <v>0</v>
      </c>
      <c r="Q468" s="424">
        <f t="shared" si="24"/>
        <v>26.478571428571428</v>
      </c>
      <c r="R468" s="321" t="str">
        <f t="shared" si="22"/>
        <v>NO</v>
      </c>
      <c r="S468" s="321" t="str">
        <f t="shared" si="23"/>
        <v>Medio</v>
      </c>
      <c r="T468" s="184"/>
    </row>
    <row r="469" spans="1:20" ht="32.1" customHeight="1">
      <c r="A469" s="404" t="s">
        <v>3879</v>
      </c>
      <c r="B469" s="302" t="s">
        <v>3208</v>
      </c>
      <c r="C469" s="302" t="s">
        <v>3209</v>
      </c>
      <c r="D469" s="399">
        <v>100</v>
      </c>
      <c r="E469" s="407"/>
      <c r="F469" s="407"/>
      <c r="G469" s="407"/>
      <c r="H469" s="407"/>
      <c r="I469" s="407"/>
      <c r="J469" s="407"/>
      <c r="K469" s="407"/>
      <c r="L469" s="407"/>
      <c r="M469" s="407">
        <v>97.6</v>
      </c>
      <c r="N469" s="407"/>
      <c r="O469" s="407">
        <v>97.6</v>
      </c>
      <c r="P469" s="407"/>
      <c r="Q469" s="424">
        <f t="shared" si="24"/>
        <v>97.6</v>
      </c>
      <c r="R469" s="321" t="str">
        <f t="shared" si="22"/>
        <v>NO</v>
      </c>
      <c r="S469" s="321" t="str">
        <f t="shared" si="23"/>
        <v>Inviable Sanitariamente</v>
      </c>
      <c r="T469" s="184"/>
    </row>
    <row r="470" spans="1:20" ht="32.1" customHeight="1">
      <c r="A470" s="404" t="s">
        <v>3879</v>
      </c>
      <c r="B470" s="302" t="s">
        <v>3210</v>
      </c>
      <c r="C470" s="302" t="s">
        <v>3211</v>
      </c>
      <c r="D470" s="346">
        <v>179</v>
      </c>
      <c r="E470" s="407"/>
      <c r="F470" s="407"/>
      <c r="G470" s="442"/>
      <c r="H470" s="407"/>
      <c r="I470" s="407"/>
      <c r="J470" s="407"/>
      <c r="K470" s="407"/>
      <c r="L470" s="407"/>
      <c r="M470" s="407">
        <v>88</v>
      </c>
      <c r="N470" s="407"/>
      <c r="O470" s="407">
        <v>88</v>
      </c>
      <c r="P470" s="407"/>
      <c r="Q470" s="424">
        <f t="shared" si="24"/>
        <v>88</v>
      </c>
      <c r="R470" s="321" t="str">
        <f t="shared" si="22"/>
        <v>NO</v>
      </c>
      <c r="S470" s="321" t="str">
        <f t="shared" si="23"/>
        <v>Inviable Sanitariamente</v>
      </c>
    </row>
    <row r="471" spans="1:20" ht="32.1" customHeight="1">
      <c r="A471" s="404" t="s">
        <v>3879</v>
      </c>
      <c r="B471" s="302" t="s">
        <v>3212</v>
      </c>
      <c r="C471" s="302" t="s">
        <v>3213</v>
      </c>
      <c r="D471" s="346">
        <v>69</v>
      </c>
      <c r="E471" s="407"/>
      <c r="F471" s="407"/>
      <c r="G471" s="407"/>
      <c r="H471" s="407"/>
      <c r="I471" s="407"/>
      <c r="J471" s="407"/>
      <c r="K471" s="407"/>
      <c r="L471" s="407"/>
      <c r="M471" s="407"/>
      <c r="N471" s="407"/>
      <c r="O471" s="407"/>
      <c r="P471" s="407">
        <v>97.6</v>
      </c>
      <c r="Q471" s="424">
        <f t="shared" si="24"/>
        <v>97.6</v>
      </c>
      <c r="R471" s="321" t="str">
        <f t="shared" si="22"/>
        <v>NO</v>
      </c>
      <c r="S471" s="321" t="str">
        <f t="shared" si="23"/>
        <v>Inviable Sanitariamente</v>
      </c>
    </row>
    <row r="472" spans="1:20" ht="32.1" customHeight="1">
      <c r="A472" s="404" t="s">
        <v>3879</v>
      </c>
      <c r="B472" s="302" t="s">
        <v>3214</v>
      </c>
      <c r="C472" s="302" t="s">
        <v>3215</v>
      </c>
      <c r="D472" s="399">
        <v>102</v>
      </c>
      <c r="E472" s="407"/>
      <c r="F472" s="407">
        <v>0</v>
      </c>
      <c r="G472" s="407">
        <v>53.1</v>
      </c>
      <c r="H472" s="407">
        <v>0</v>
      </c>
      <c r="I472" s="407"/>
      <c r="J472" s="407">
        <v>26.55</v>
      </c>
      <c r="K472" s="407"/>
      <c r="L472" s="407">
        <v>0</v>
      </c>
      <c r="M472" s="407"/>
      <c r="N472" s="407"/>
      <c r="O472" s="407"/>
      <c r="P472" s="407">
        <v>0</v>
      </c>
      <c r="Q472" s="424">
        <f t="shared" si="24"/>
        <v>13.275</v>
      </c>
      <c r="R472" s="321" t="str">
        <f t="shared" si="22"/>
        <v>NO</v>
      </c>
      <c r="S472" s="321" t="str">
        <f t="shared" si="23"/>
        <v>Bajo</v>
      </c>
    </row>
    <row r="473" spans="1:20" ht="32.1" customHeight="1">
      <c r="A473" s="404" t="s">
        <v>3879</v>
      </c>
      <c r="B473" s="302" t="s">
        <v>3216</v>
      </c>
      <c r="C473" s="302" t="s">
        <v>3217</v>
      </c>
      <c r="D473" s="346">
        <v>65</v>
      </c>
      <c r="E473" s="407"/>
      <c r="F473" s="407"/>
      <c r="G473" s="407"/>
      <c r="H473" s="407"/>
      <c r="I473" s="407"/>
      <c r="J473" s="407"/>
      <c r="K473" s="407"/>
      <c r="L473" s="407"/>
      <c r="M473" s="407"/>
      <c r="N473" s="407">
        <v>64</v>
      </c>
      <c r="O473" s="407"/>
      <c r="P473" s="407">
        <v>73.599999999999994</v>
      </c>
      <c r="Q473" s="424">
        <f t="shared" si="24"/>
        <v>68.8</v>
      </c>
      <c r="R473" s="321" t="str">
        <f t="shared" si="22"/>
        <v>NO</v>
      </c>
      <c r="S473" s="321" t="str">
        <f t="shared" si="23"/>
        <v>Alto</v>
      </c>
    </row>
    <row r="474" spans="1:20" ht="32.1" customHeight="1">
      <c r="A474" s="404" t="s">
        <v>3879</v>
      </c>
      <c r="B474" s="302" t="s">
        <v>409</v>
      </c>
      <c r="C474" s="302" t="s">
        <v>3218</v>
      </c>
      <c r="D474" s="346">
        <v>16</v>
      </c>
      <c r="E474" s="407"/>
      <c r="F474" s="407"/>
      <c r="G474" s="407"/>
      <c r="H474" s="407"/>
      <c r="I474" s="407"/>
      <c r="J474" s="407"/>
      <c r="K474" s="407"/>
      <c r="L474" s="407"/>
      <c r="M474" s="407"/>
      <c r="N474" s="407"/>
      <c r="O474" s="407"/>
      <c r="P474" s="407">
        <v>64</v>
      </c>
      <c r="Q474" s="424">
        <f t="shared" si="24"/>
        <v>64</v>
      </c>
      <c r="R474" s="321" t="str">
        <f t="shared" si="22"/>
        <v>NO</v>
      </c>
      <c r="S474" s="321" t="str">
        <f t="shared" si="23"/>
        <v>Alto</v>
      </c>
    </row>
    <row r="475" spans="1:20" ht="32.1" customHeight="1">
      <c r="A475" s="404" t="s">
        <v>3879</v>
      </c>
      <c r="B475" s="302" t="s">
        <v>2800</v>
      </c>
      <c r="C475" s="302" t="s">
        <v>2801</v>
      </c>
      <c r="D475" s="399">
        <v>33</v>
      </c>
      <c r="E475" s="407"/>
      <c r="F475" s="407"/>
      <c r="G475" s="407"/>
      <c r="H475" s="407"/>
      <c r="I475" s="407"/>
      <c r="J475" s="407"/>
      <c r="K475" s="407"/>
      <c r="L475" s="407"/>
      <c r="M475" s="407"/>
      <c r="N475" s="407"/>
      <c r="O475" s="407"/>
      <c r="P475" s="407">
        <v>64</v>
      </c>
      <c r="Q475" s="424">
        <f t="shared" si="24"/>
        <v>64</v>
      </c>
      <c r="R475" s="321" t="str">
        <f t="shared" si="22"/>
        <v>NO</v>
      </c>
      <c r="S475" s="321" t="str">
        <f t="shared" si="23"/>
        <v>Alto</v>
      </c>
    </row>
    <row r="476" spans="1:20" ht="32.1" customHeight="1">
      <c r="A476" s="404" t="s">
        <v>3879</v>
      </c>
      <c r="B476" s="302" t="s">
        <v>3219</v>
      </c>
      <c r="C476" s="302" t="s">
        <v>3220</v>
      </c>
      <c r="D476" s="346">
        <v>86</v>
      </c>
      <c r="E476" s="407"/>
      <c r="F476" s="407"/>
      <c r="G476" s="421">
        <v>53.1</v>
      </c>
      <c r="H476" s="407">
        <v>0</v>
      </c>
      <c r="I476" s="407"/>
      <c r="J476" s="407">
        <v>97.34</v>
      </c>
      <c r="K476" s="407"/>
      <c r="L476" s="407">
        <v>24</v>
      </c>
      <c r="M476" s="407"/>
      <c r="N476" s="407"/>
      <c r="O476" s="407"/>
      <c r="P476" s="407">
        <v>0</v>
      </c>
      <c r="Q476" s="342">
        <f t="shared" si="24"/>
        <v>34.887999999999998</v>
      </c>
      <c r="R476" s="321" t="str">
        <f t="shared" si="22"/>
        <v>NO</v>
      </c>
      <c r="S476" s="321" t="str">
        <f t="shared" si="23"/>
        <v>Medio</v>
      </c>
    </row>
    <row r="477" spans="1:20" ht="32.1" customHeight="1">
      <c r="A477" s="404" t="s">
        <v>3879</v>
      </c>
      <c r="B477" s="302" t="s">
        <v>3221</v>
      </c>
      <c r="C477" s="302" t="s">
        <v>3222</v>
      </c>
      <c r="D477" s="346">
        <v>93</v>
      </c>
      <c r="E477" s="407"/>
      <c r="F477" s="407"/>
      <c r="G477" s="407"/>
      <c r="H477" s="407"/>
      <c r="I477" s="407"/>
      <c r="J477" s="407"/>
      <c r="K477" s="407"/>
      <c r="L477" s="407"/>
      <c r="M477" s="407"/>
      <c r="N477" s="407">
        <v>88</v>
      </c>
      <c r="O477" s="407"/>
      <c r="P477" s="407"/>
      <c r="Q477" s="424">
        <f t="shared" si="24"/>
        <v>88</v>
      </c>
      <c r="R477" s="321" t="str">
        <f t="shared" si="22"/>
        <v>NO</v>
      </c>
      <c r="S477" s="321" t="str">
        <f t="shared" si="23"/>
        <v>Inviable Sanitariamente</v>
      </c>
    </row>
    <row r="478" spans="1:20" ht="32.1" customHeight="1">
      <c r="A478" s="404" t="s">
        <v>3879</v>
      </c>
      <c r="B478" s="302" t="s">
        <v>3223</v>
      </c>
      <c r="C478" s="302" t="s">
        <v>3224</v>
      </c>
      <c r="D478" s="346">
        <v>55</v>
      </c>
      <c r="E478" s="407"/>
      <c r="F478" s="407"/>
      <c r="G478" s="407"/>
      <c r="H478" s="407"/>
      <c r="I478" s="407"/>
      <c r="J478" s="407"/>
      <c r="K478" s="407"/>
      <c r="L478" s="407"/>
      <c r="M478" s="407"/>
      <c r="N478" s="407">
        <v>97.6</v>
      </c>
      <c r="O478" s="407"/>
      <c r="P478" s="407"/>
      <c r="Q478" s="424">
        <f t="shared" si="24"/>
        <v>97.6</v>
      </c>
      <c r="R478" s="321" t="str">
        <f t="shared" si="22"/>
        <v>NO</v>
      </c>
      <c r="S478" s="321" t="str">
        <f t="shared" si="23"/>
        <v>Inviable Sanitariamente</v>
      </c>
    </row>
    <row r="479" spans="1:20" ht="32.1" customHeight="1">
      <c r="A479" s="404" t="s">
        <v>3879</v>
      </c>
      <c r="B479" s="302" t="s">
        <v>3225</v>
      </c>
      <c r="C479" s="302" t="s">
        <v>3226</v>
      </c>
      <c r="D479" s="346">
        <v>16</v>
      </c>
      <c r="E479" s="407"/>
      <c r="F479" s="407"/>
      <c r="G479" s="407"/>
      <c r="H479" s="407"/>
      <c r="I479" s="407"/>
      <c r="J479" s="407"/>
      <c r="K479" s="407"/>
      <c r="L479" s="407"/>
      <c r="M479" s="407"/>
      <c r="N479" s="407"/>
      <c r="O479" s="407"/>
      <c r="P479" s="407">
        <v>64</v>
      </c>
      <c r="Q479" s="424">
        <f t="shared" si="24"/>
        <v>64</v>
      </c>
      <c r="R479" s="321" t="str">
        <f t="shared" si="22"/>
        <v>NO</v>
      </c>
      <c r="S479" s="321" t="str">
        <f t="shared" si="23"/>
        <v>Alto</v>
      </c>
    </row>
    <row r="480" spans="1:20" ht="32.1" customHeight="1">
      <c r="A480" s="404" t="s">
        <v>3879</v>
      </c>
      <c r="B480" s="302" t="s">
        <v>3227</v>
      </c>
      <c r="C480" s="302" t="s">
        <v>3228</v>
      </c>
      <c r="D480" s="346">
        <v>24</v>
      </c>
      <c r="E480" s="407"/>
      <c r="F480" s="407"/>
      <c r="G480" s="407"/>
      <c r="H480" s="407"/>
      <c r="I480" s="407"/>
      <c r="J480" s="407"/>
      <c r="K480" s="407"/>
      <c r="L480" s="407"/>
      <c r="M480" s="407"/>
      <c r="N480" s="407"/>
      <c r="O480" s="407"/>
      <c r="P480" s="407">
        <v>64</v>
      </c>
      <c r="Q480" s="424">
        <f t="shared" si="24"/>
        <v>64</v>
      </c>
      <c r="R480" s="321" t="str">
        <f t="shared" si="22"/>
        <v>NO</v>
      </c>
      <c r="S480" s="321" t="str">
        <f t="shared" si="23"/>
        <v>Alto</v>
      </c>
    </row>
    <row r="481" spans="1:19" ht="32.1" customHeight="1">
      <c r="A481" s="404" t="s">
        <v>3879</v>
      </c>
      <c r="B481" s="302" t="s">
        <v>3133</v>
      </c>
      <c r="C481" s="302" t="s">
        <v>3229</v>
      </c>
      <c r="D481" s="346">
        <v>300</v>
      </c>
      <c r="E481" s="407"/>
      <c r="F481" s="407"/>
      <c r="G481" s="407">
        <v>0</v>
      </c>
      <c r="H481" s="407">
        <v>0</v>
      </c>
      <c r="I481" s="407">
        <v>0</v>
      </c>
      <c r="J481" s="407"/>
      <c r="K481" s="407"/>
      <c r="L481" s="407"/>
      <c r="M481" s="407">
        <v>0</v>
      </c>
      <c r="N481" s="407"/>
      <c r="O481" s="407">
        <v>0</v>
      </c>
      <c r="P481" s="407"/>
      <c r="Q481" s="424">
        <f t="shared" si="24"/>
        <v>0</v>
      </c>
      <c r="R481" s="321" t="str">
        <f t="shared" si="22"/>
        <v>SI</v>
      </c>
      <c r="S481" s="321" t="str">
        <f t="shared" si="23"/>
        <v>Sin Riesgo</v>
      </c>
    </row>
    <row r="482" spans="1:19" ht="32.1" customHeight="1">
      <c r="A482" s="404" t="s">
        <v>3879</v>
      </c>
      <c r="B482" s="302" t="s">
        <v>3230</v>
      </c>
      <c r="C482" s="302" t="s">
        <v>3231</v>
      </c>
      <c r="D482" s="346">
        <v>165</v>
      </c>
      <c r="E482" s="407"/>
      <c r="F482" s="407"/>
      <c r="G482" s="407"/>
      <c r="H482" s="407"/>
      <c r="I482" s="407"/>
      <c r="J482" s="407"/>
      <c r="K482" s="407"/>
      <c r="L482" s="407"/>
      <c r="M482" s="407"/>
      <c r="N482" s="407"/>
      <c r="O482" s="407"/>
      <c r="P482" s="407">
        <v>64</v>
      </c>
      <c r="Q482" s="424">
        <f t="shared" si="24"/>
        <v>64</v>
      </c>
      <c r="R482" s="321" t="str">
        <f t="shared" si="22"/>
        <v>NO</v>
      </c>
      <c r="S482" s="321" t="str">
        <f t="shared" si="23"/>
        <v>Alto</v>
      </c>
    </row>
    <row r="483" spans="1:19" ht="32.1" customHeight="1">
      <c r="A483" s="404" t="s">
        <v>3879</v>
      </c>
      <c r="B483" s="302" t="s">
        <v>3232</v>
      </c>
      <c r="C483" s="302" t="s">
        <v>3233</v>
      </c>
      <c r="D483" s="346">
        <v>271</v>
      </c>
      <c r="E483" s="407"/>
      <c r="F483" s="407"/>
      <c r="G483" s="407">
        <v>0</v>
      </c>
      <c r="H483" s="407">
        <v>0</v>
      </c>
      <c r="I483" s="407"/>
      <c r="J483" s="407">
        <v>53.1</v>
      </c>
      <c r="K483" s="407"/>
      <c r="L483" s="407"/>
      <c r="M483" s="407"/>
      <c r="N483" s="407"/>
      <c r="O483" s="407"/>
      <c r="P483" s="407"/>
      <c r="Q483" s="424">
        <f t="shared" si="24"/>
        <v>17.7</v>
      </c>
      <c r="R483" s="321" t="str">
        <f t="shared" si="22"/>
        <v>NO</v>
      </c>
      <c r="S483" s="321" t="str">
        <f t="shared" si="23"/>
        <v>Medio</v>
      </c>
    </row>
    <row r="484" spans="1:19" ht="32.1" customHeight="1">
      <c r="A484" s="404" t="s">
        <v>3879</v>
      </c>
      <c r="B484" s="302" t="s">
        <v>3234</v>
      </c>
      <c r="C484" s="302" t="s">
        <v>3235</v>
      </c>
      <c r="D484" s="346">
        <v>380</v>
      </c>
      <c r="E484" s="407"/>
      <c r="F484" s="407"/>
      <c r="G484" s="407"/>
      <c r="H484" s="407">
        <v>0</v>
      </c>
      <c r="I484" s="407">
        <v>0</v>
      </c>
      <c r="J484" s="407">
        <v>97.34</v>
      </c>
      <c r="K484" s="407">
        <v>88</v>
      </c>
      <c r="L484" s="407"/>
      <c r="M484" s="407"/>
      <c r="N484" s="407"/>
      <c r="O484" s="407"/>
      <c r="P484" s="407">
        <v>24</v>
      </c>
      <c r="Q484" s="424">
        <f t="shared" si="24"/>
        <v>41.868000000000002</v>
      </c>
      <c r="R484" s="321" t="str">
        <f t="shared" si="22"/>
        <v>NO</v>
      </c>
      <c r="S484" s="321" t="str">
        <f t="shared" si="23"/>
        <v>Alto</v>
      </c>
    </row>
    <row r="485" spans="1:19" ht="32.1" customHeight="1">
      <c r="A485" s="404" t="s">
        <v>3879</v>
      </c>
      <c r="B485" s="302" t="s">
        <v>1003</v>
      </c>
      <c r="C485" s="302" t="s">
        <v>3236</v>
      </c>
      <c r="D485" s="346">
        <v>260</v>
      </c>
      <c r="E485" s="407"/>
      <c r="F485" s="407"/>
      <c r="G485" s="407"/>
      <c r="H485" s="407">
        <v>0</v>
      </c>
      <c r="I485" s="407">
        <v>0</v>
      </c>
      <c r="J485" s="407">
        <v>0</v>
      </c>
      <c r="K485" s="407"/>
      <c r="L485" s="407"/>
      <c r="M485" s="407">
        <v>0</v>
      </c>
      <c r="N485" s="407"/>
      <c r="O485" s="407">
        <v>0</v>
      </c>
      <c r="P485" s="407"/>
      <c r="Q485" s="424">
        <f t="shared" si="24"/>
        <v>0</v>
      </c>
      <c r="R485" s="321" t="str">
        <f t="shared" si="22"/>
        <v>SI</v>
      </c>
      <c r="S485" s="321" t="str">
        <f t="shared" si="23"/>
        <v>Sin Riesgo</v>
      </c>
    </row>
    <row r="486" spans="1:19" ht="32.1" customHeight="1">
      <c r="A486" s="404" t="s">
        <v>3879</v>
      </c>
      <c r="B486" s="302" t="s">
        <v>3237</v>
      </c>
      <c r="C486" s="302" t="s">
        <v>3238</v>
      </c>
      <c r="D486" s="346">
        <v>1103</v>
      </c>
      <c r="E486" s="407"/>
      <c r="F486" s="407"/>
      <c r="G486" s="407"/>
      <c r="H486" s="407"/>
      <c r="I486" s="407">
        <v>0</v>
      </c>
      <c r="J486" s="407">
        <v>0</v>
      </c>
      <c r="K486" s="407"/>
      <c r="L486" s="407"/>
      <c r="M486" s="407">
        <v>0</v>
      </c>
      <c r="N486" s="407"/>
      <c r="O486" s="407">
        <v>0</v>
      </c>
      <c r="P486" s="407"/>
      <c r="Q486" s="424">
        <f t="shared" si="24"/>
        <v>0</v>
      </c>
      <c r="R486" s="321" t="str">
        <f t="shared" si="22"/>
        <v>SI</v>
      </c>
      <c r="S486" s="321" t="str">
        <f t="shared" si="23"/>
        <v>Sin Riesgo</v>
      </c>
    </row>
    <row r="487" spans="1:19" ht="32.1" customHeight="1">
      <c r="A487" s="404" t="s">
        <v>3879</v>
      </c>
      <c r="B487" s="302" t="s">
        <v>3239</v>
      </c>
      <c r="C487" s="302" t="s">
        <v>3240</v>
      </c>
      <c r="D487" s="346">
        <v>61</v>
      </c>
      <c r="E487" s="407"/>
      <c r="F487" s="407"/>
      <c r="G487" s="407">
        <v>0</v>
      </c>
      <c r="H487" s="407">
        <v>0</v>
      </c>
      <c r="I487" s="407">
        <v>0</v>
      </c>
      <c r="J487" s="407">
        <v>0</v>
      </c>
      <c r="K487" s="407"/>
      <c r="L487" s="407"/>
      <c r="M487" s="407">
        <v>0</v>
      </c>
      <c r="N487" s="407"/>
      <c r="O487" s="407">
        <v>0</v>
      </c>
      <c r="P487" s="407"/>
      <c r="Q487" s="424">
        <f t="shared" si="24"/>
        <v>0</v>
      </c>
      <c r="R487" s="321" t="str">
        <f t="shared" si="22"/>
        <v>SI</v>
      </c>
      <c r="S487" s="321" t="str">
        <f t="shared" si="23"/>
        <v>Sin Riesgo</v>
      </c>
    </row>
    <row r="488" spans="1:19" ht="32.1" customHeight="1">
      <c r="A488" s="404" t="s">
        <v>3879</v>
      </c>
      <c r="B488" s="318" t="s">
        <v>3241</v>
      </c>
      <c r="C488" s="318" t="s">
        <v>3242</v>
      </c>
      <c r="D488" s="346">
        <v>44</v>
      </c>
      <c r="E488" s="407"/>
      <c r="F488" s="407"/>
      <c r="G488" s="407"/>
      <c r="H488" s="407"/>
      <c r="I488" s="407"/>
      <c r="J488" s="407"/>
      <c r="K488" s="407"/>
      <c r="L488" s="407"/>
      <c r="M488" s="407"/>
      <c r="N488" s="407"/>
      <c r="O488" s="407"/>
      <c r="P488" s="407">
        <v>88</v>
      </c>
      <c r="Q488" s="424">
        <f t="shared" si="24"/>
        <v>88</v>
      </c>
      <c r="R488" s="321" t="str">
        <f t="shared" si="22"/>
        <v>NO</v>
      </c>
      <c r="S488" s="321" t="str">
        <f t="shared" si="23"/>
        <v>Inviable Sanitariamente</v>
      </c>
    </row>
    <row r="489" spans="1:19" ht="32.1" customHeight="1">
      <c r="A489" s="444" t="s">
        <v>156</v>
      </c>
      <c r="B489" s="302" t="s">
        <v>3244</v>
      </c>
      <c r="C489" s="302" t="s">
        <v>3245</v>
      </c>
      <c r="D489" s="533">
        <v>17</v>
      </c>
      <c r="E489" s="407"/>
      <c r="F489" s="407"/>
      <c r="G489" s="443">
        <v>97.37</v>
      </c>
      <c r="H489" s="407"/>
      <c r="I489" s="407"/>
      <c r="J489" s="407"/>
      <c r="K489" s="407"/>
      <c r="L489" s="407"/>
      <c r="M489" s="407"/>
      <c r="N489" s="407"/>
      <c r="O489" s="407"/>
      <c r="P489" s="407"/>
      <c r="Q489" s="424">
        <f t="shared" si="24"/>
        <v>97.37</v>
      </c>
      <c r="R489" s="321" t="str">
        <f t="shared" si="22"/>
        <v>NO</v>
      </c>
      <c r="S489" s="321" t="str">
        <f t="shared" si="23"/>
        <v>Inviable Sanitariamente</v>
      </c>
    </row>
    <row r="490" spans="1:19" ht="32.1" customHeight="1">
      <c r="A490" s="444" t="s">
        <v>156</v>
      </c>
      <c r="B490" s="302" t="s">
        <v>3246</v>
      </c>
      <c r="C490" s="532" t="s">
        <v>3247</v>
      </c>
      <c r="D490" s="346">
        <v>26</v>
      </c>
      <c r="E490" s="528"/>
      <c r="F490" s="443">
        <v>97.37</v>
      </c>
      <c r="G490" s="407"/>
      <c r="H490" s="407"/>
      <c r="I490" s="407"/>
      <c r="J490" s="407"/>
      <c r="K490" s="407"/>
      <c r="L490" s="407"/>
      <c r="M490" s="407"/>
      <c r="N490" s="407"/>
      <c r="O490" s="407"/>
      <c r="P490" s="407"/>
      <c r="Q490" s="424">
        <f t="shared" si="24"/>
        <v>97.37</v>
      </c>
      <c r="R490" s="321" t="str">
        <f t="shared" si="22"/>
        <v>NO</v>
      </c>
      <c r="S490" s="321" t="str">
        <f t="shared" si="23"/>
        <v>Inviable Sanitariamente</v>
      </c>
    </row>
    <row r="491" spans="1:19" ht="32.1" customHeight="1">
      <c r="A491" s="444" t="s">
        <v>156</v>
      </c>
      <c r="B491" s="302" t="s">
        <v>3248</v>
      </c>
      <c r="C491" s="532" t="s">
        <v>3249</v>
      </c>
      <c r="D491" s="346">
        <v>46</v>
      </c>
      <c r="E491" s="528"/>
      <c r="F491" s="407"/>
      <c r="G491" s="407"/>
      <c r="H491" s="407"/>
      <c r="I491" s="407"/>
      <c r="J491" s="407"/>
      <c r="K491" s="407"/>
      <c r="L491" s="407"/>
      <c r="M491" s="407"/>
      <c r="N491" s="443">
        <v>97.37</v>
      </c>
      <c r="O491" s="407"/>
      <c r="P491" s="407"/>
      <c r="Q491" s="424">
        <f t="shared" si="24"/>
        <v>97.37</v>
      </c>
      <c r="R491" s="321" t="str">
        <f t="shared" si="22"/>
        <v>NO</v>
      </c>
      <c r="S491" s="321" t="str">
        <f t="shared" si="23"/>
        <v>Inviable Sanitariamente</v>
      </c>
    </row>
    <row r="492" spans="1:19" ht="32.1" customHeight="1">
      <c r="A492" s="444" t="s">
        <v>156</v>
      </c>
      <c r="B492" s="302" t="s">
        <v>3250</v>
      </c>
      <c r="C492" s="532" t="s">
        <v>3251</v>
      </c>
      <c r="D492" s="346">
        <v>42</v>
      </c>
      <c r="E492" s="528"/>
      <c r="F492" s="443">
        <v>97.37</v>
      </c>
      <c r="G492" s="407"/>
      <c r="H492" s="407"/>
      <c r="I492" s="407"/>
      <c r="J492" s="407"/>
      <c r="K492" s="407"/>
      <c r="L492" s="407"/>
      <c r="M492" s="407"/>
      <c r="N492" s="407"/>
      <c r="O492" s="407"/>
      <c r="P492" s="407"/>
      <c r="Q492" s="424">
        <f t="shared" si="24"/>
        <v>97.37</v>
      </c>
      <c r="R492" s="321" t="str">
        <f t="shared" si="22"/>
        <v>NO</v>
      </c>
      <c r="S492" s="321" t="str">
        <f t="shared" si="23"/>
        <v>Inviable Sanitariamente</v>
      </c>
    </row>
    <row r="493" spans="1:19" ht="32.1" customHeight="1">
      <c r="A493" s="444" t="s">
        <v>156</v>
      </c>
      <c r="B493" s="302" t="s">
        <v>2685</v>
      </c>
      <c r="C493" s="532" t="s">
        <v>3252</v>
      </c>
      <c r="D493" s="346">
        <v>120</v>
      </c>
      <c r="E493" s="528"/>
      <c r="F493" s="407"/>
      <c r="G493" s="407"/>
      <c r="H493" s="407"/>
      <c r="I493" s="407"/>
      <c r="J493" s="407"/>
      <c r="K493" s="407"/>
      <c r="L493" s="407"/>
      <c r="M493" s="407"/>
      <c r="N493" s="443">
        <v>97.37</v>
      </c>
      <c r="O493" s="407"/>
      <c r="P493" s="407"/>
      <c r="Q493" s="424">
        <f t="shared" si="24"/>
        <v>97.37</v>
      </c>
      <c r="R493" s="321" t="str">
        <f t="shared" si="22"/>
        <v>NO</v>
      </c>
      <c r="S493" s="321" t="str">
        <f t="shared" si="23"/>
        <v>Inviable Sanitariamente</v>
      </c>
    </row>
    <row r="494" spans="1:19" ht="32.1" customHeight="1">
      <c r="A494" s="444" t="s">
        <v>156</v>
      </c>
      <c r="B494" s="302" t="s">
        <v>626</v>
      </c>
      <c r="C494" s="532" t="s">
        <v>3253</v>
      </c>
      <c r="D494" s="399">
        <v>20</v>
      </c>
      <c r="E494" s="528"/>
      <c r="F494" s="407"/>
      <c r="G494" s="407"/>
      <c r="H494" s="407"/>
      <c r="I494" s="407"/>
      <c r="J494" s="407"/>
      <c r="K494" s="407"/>
      <c r="L494" s="407"/>
      <c r="M494" s="443">
        <v>97.37</v>
      </c>
      <c r="N494" s="407"/>
      <c r="O494" s="407"/>
      <c r="P494" s="407"/>
      <c r="Q494" s="424">
        <f t="shared" si="24"/>
        <v>97.37</v>
      </c>
      <c r="R494" s="321" t="str">
        <f t="shared" si="22"/>
        <v>NO</v>
      </c>
      <c r="S494" s="321" t="str">
        <f t="shared" si="23"/>
        <v>Inviable Sanitariamente</v>
      </c>
    </row>
    <row r="495" spans="1:19" ht="32.1" customHeight="1">
      <c r="A495" s="444" t="s">
        <v>156</v>
      </c>
      <c r="B495" s="302" t="s">
        <v>2001</v>
      </c>
      <c r="C495" s="532" t="s">
        <v>3255</v>
      </c>
      <c r="D495" s="346">
        <v>39</v>
      </c>
      <c r="E495" s="528"/>
      <c r="F495" s="407"/>
      <c r="G495" s="407"/>
      <c r="H495" s="407"/>
      <c r="I495" s="407"/>
      <c r="J495" s="407"/>
      <c r="K495" s="407"/>
      <c r="L495" s="407"/>
      <c r="M495" s="407"/>
      <c r="N495" s="443"/>
      <c r="O495" s="443">
        <v>97.37</v>
      </c>
      <c r="P495" s="407"/>
      <c r="Q495" s="424">
        <f t="shared" si="24"/>
        <v>97.37</v>
      </c>
      <c r="R495" s="321" t="str">
        <f t="shared" si="22"/>
        <v>NO</v>
      </c>
      <c r="S495" s="321" t="str">
        <f t="shared" si="23"/>
        <v>Inviable Sanitariamente</v>
      </c>
    </row>
    <row r="496" spans="1:19" ht="32.1" customHeight="1">
      <c r="A496" s="444" t="s">
        <v>156</v>
      </c>
      <c r="B496" s="302" t="s">
        <v>3256</v>
      </c>
      <c r="C496" s="532" t="s">
        <v>3257</v>
      </c>
      <c r="D496" s="346">
        <v>12</v>
      </c>
      <c r="E496" s="528"/>
      <c r="F496" s="443">
        <v>97.37</v>
      </c>
      <c r="G496" s="407"/>
      <c r="H496" s="407"/>
      <c r="I496" s="407"/>
      <c r="J496" s="407"/>
      <c r="K496" s="407"/>
      <c r="L496" s="407"/>
      <c r="M496" s="407"/>
      <c r="N496" s="407"/>
      <c r="O496" s="407"/>
      <c r="P496" s="407"/>
      <c r="Q496" s="424">
        <f t="shared" si="24"/>
        <v>97.37</v>
      </c>
      <c r="R496" s="321" t="str">
        <f t="shared" si="22"/>
        <v>NO</v>
      </c>
      <c r="S496" s="321" t="str">
        <f t="shared" si="23"/>
        <v>Inviable Sanitariamente</v>
      </c>
    </row>
    <row r="497" spans="1:19" ht="32.1" customHeight="1">
      <c r="A497" s="444" t="s">
        <v>156</v>
      </c>
      <c r="B497" s="302" t="s">
        <v>8</v>
      </c>
      <c r="C497" s="532" t="s">
        <v>3261</v>
      </c>
      <c r="D497" s="346">
        <v>30</v>
      </c>
      <c r="E497" s="528"/>
      <c r="F497" s="407"/>
      <c r="G497" s="407"/>
      <c r="H497" s="407"/>
      <c r="I497" s="407"/>
      <c r="J497" s="407"/>
      <c r="K497" s="407"/>
      <c r="L497" s="407"/>
      <c r="M497" s="407"/>
      <c r="N497" s="443">
        <v>97.37</v>
      </c>
      <c r="O497" s="407"/>
      <c r="P497" s="407"/>
      <c r="Q497" s="424">
        <f t="shared" si="24"/>
        <v>97.37</v>
      </c>
      <c r="R497" s="321" t="str">
        <f t="shared" si="22"/>
        <v>NO</v>
      </c>
      <c r="S497" s="321" t="str">
        <f t="shared" si="23"/>
        <v>Inviable Sanitariamente</v>
      </c>
    </row>
    <row r="498" spans="1:19" ht="32.1" customHeight="1">
      <c r="A498" s="444" t="s">
        <v>156</v>
      </c>
      <c r="B498" s="302" t="s">
        <v>51</v>
      </c>
      <c r="C498" s="532" t="s">
        <v>3262</v>
      </c>
      <c r="D498" s="346">
        <v>32</v>
      </c>
      <c r="E498" s="528"/>
      <c r="F498" s="407"/>
      <c r="G498" s="407"/>
      <c r="H498" s="407"/>
      <c r="I498" s="407"/>
      <c r="J498" s="407"/>
      <c r="K498" s="407"/>
      <c r="L498" s="407"/>
      <c r="M498" s="407"/>
      <c r="N498" s="443">
        <v>97.37</v>
      </c>
      <c r="O498" s="407"/>
      <c r="P498" s="407"/>
      <c r="Q498" s="424">
        <f t="shared" si="24"/>
        <v>97.37</v>
      </c>
      <c r="R498" s="321" t="str">
        <f t="shared" si="22"/>
        <v>NO</v>
      </c>
      <c r="S498" s="321" t="str">
        <f t="shared" si="23"/>
        <v>Inviable Sanitariamente</v>
      </c>
    </row>
    <row r="499" spans="1:19" ht="32.1" customHeight="1">
      <c r="A499" s="444" t="s">
        <v>156</v>
      </c>
      <c r="B499" s="302" t="s">
        <v>3263</v>
      </c>
      <c r="C499" s="532" t="s">
        <v>3264</v>
      </c>
      <c r="D499" s="346">
        <v>28</v>
      </c>
      <c r="E499" s="528"/>
      <c r="F499" s="407"/>
      <c r="G499" s="407"/>
      <c r="H499" s="407"/>
      <c r="I499" s="407"/>
      <c r="J499" s="407"/>
      <c r="K499" s="407"/>
      <c r="L499" s="407"/>
      <c r="M499" s="407"/>
      <c r="N499" s="443">
        <v>97.37</v>
      </c>
      <c r="O499" s="407"/>
      <c r="P499" s="407"/>
      <c r="Q499" s="424">
        <f t="shared" si="24"/>
        <v>97.37</v>
      </c>
      <c r="R499" s="321" t="str">
        <f t="shared" si="22"/>
        <v>NO</v>
      </c>
      <c r="S499" s="321" t="str">
        <f t="shared" si="23"/>
        <v>Inviable Sanitariamente</v>
      </c>
    </row>
    <row r="500" spans="1:19" ht="32.1" customHeight="1">
      <c r="A500" s="444" t="s">
        <v>156</v>
      </c>
      <c r="B500" s="302" t="s">
        <v>3265</v>
      </c>
      <c r="C500" s="532" t="s">
        <v>3266</v>
      </c>
      <c r="D500" s="346">
        <v>16</v>
      </c>
      <c r="E500" s="528"/>
      <c r="F500" s="407"/>
      <c r="G500" s="407"/>
      <c r="H500" s="407"/>
      <c r="I500" s="407"/>
      <c r="J500" s="407"/>
      <c r="K500" s="407"/>
      <c r="L500" s="407"/>
      <c r="M500" s="407"/>
      <c r="N500" s="443">
        <v>97.37</v>
      </c>
      <c r="O500" s="407"/>
      <c r="P500" s="407"/>
      <c r="Q500" s="424">
        <f t="shared" si="24"/>
        <v>97.37</v>
      </c>
      <c r="R500" s="321" t="str">
        <f t="shared" si="22"/>
        <v>NO</v>
      </c>
      <c r="S500" s="321" t="str">
        <f t="shared" si="23"/>
        <v>Inviable Sanitariamente</v>
      </c>
    </row>
    <row r="501" spans="1:19" ht="32.1" customHeight="1">
      <c r="A501" s="444" t="s">
        <v>156</v>
      </c>
      <c r="B501" s="302" t="s">
        <v>3267</v>
      </c>
      <c r="C501" s="532" t="s">
        <v>3268</v>
      </c>
      <c r="D501" s="346">
        <v>25</v>
      </c>
      <c r="E501" s="528"/>
      <c r="F501" s="407"/>
      <c r="G501" s="443">
        <v>97.37</v>
      </c>
      <c r="H501" s="407"/>
      <c r="I501" s="407"/>
      <c r="J501" s="407"/>
      <c r="K501" s="407"/>
      <c r="L501" s="407"/>
      <c r="M501" s="407"/>
      <c r="N501" s="407"/>
      <c r="O501" s="407"/>
      <c r="P501" s="407"/>
      <c r="Q501" s="424">
        <f t="shared" si="24"/>
        <v>97.37</v>
      </c>
      <c r="R501" s="321" t="str">
        <f t="shared" si="22"/>
        <v>NO</v>
      </c>
      <c r="S501" s="321" t="str">
        <f t="shared" si="23"/>
        <v>Inviable Sanitariamente</v>
      </c>
    </row>
    <row r="502" spans="1:19" ht="32.1" customHeight="1">
      <c r="A502" s="444" t="s">
        <v>156</v>
      </c>
      <c r="B502" s="302" t="s">
        <v>1413</v>
      </c>
      <c r="C502" s="532" t="s">
        <v>3269</v>
      </c>
      <c r="D502" s="346">
        <v>40</v>
      </c>
      <c r="E502" s="528"/>
      <c r="F502" s="443">
        <v>97.37</v>
      </c>
      <c r="G502" s="407"/>
      <c r="H502" s="407"/>
      <c r="I502" s="407"/>
      <c r="J502" s="407"/>
      <c r="K502" s="407"/>
      <c r="L502" s="407"/>
      <c r="M502" s="407"/>
      <c r="N502" s="407"/>
      <c r="O502" s="407"/>
      <c r="P502" s="407"/>
      <c r="Q502" s="424">
        <f t="shared" si="24"/>
        <v>97.37</v>
      </c>
      <c r="R502" s="321" t="str">
        <f t="shared" si="22"/>
        <v>NO</v>
      </c>
      <c r="S502" s="321" t="str">
        <f t="shared" si="23"/>
        <v>Inviable Sanitariamente</v>
      </c>
    </row>
    <row r="503" spans="1:19" ht="32.1" customHeight="1">
      <c r="A503" s="444" t="s">
        <v>156</v>
      </c>
      <c r="B503" s="302" t="s">
        <v>3270</v>
      </c>
      <c r="C503" s="532" t="s">
        <v>3271</v>
      </c>
      <c r="D503" s="346">
        <v>32</v>
      </c>
      <c r="E503" s="528"/>
      <c r="F503" s="407"/>
      <c r="G503" s="443">
        <v>97.37</v>
      </c>
      <c r="H503" s="407"/>
      <c r="I503" s="407"/>
      <c r="J503" s="407"/>
      <c r="K503" s="407"/>
      <c r="L503" s="407"/>
      <c r="M503" s="407"/>
      <c r="N503" s="407"/>
      <c r="O503" s="407"/>
      <c r="P503" s="407"/>
      <c r="Q503" s="424">
        <f t="shared" si="24"/>
        <v>97.37</v>
      </c>
      <c r="R503" s="321" t="str">
        <f t="shared" si="22"/>
        <v>NO</v>
      </c>
      <c r="S503" s="321" t="str">
        <f t="shared" si="23"/>
        <v>Inviable Sanitariamente</v>
      </c>
    </row>
    <row r="504" spans="1:19" ht="32.1" customHeight="1">
      <c r="A504" s="149"/>
      <c r="B504" s="193"/>
      <c r="C504" s="193"/>
      <c r="D504" s="237"/>
      <c r="E504" s="240"/>
      <c r="F504" s="240"/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54"/>
      <c r="R504" s="254"/>
      <c r="S504" s="255"/>
    </row>
    <row r="505" spans="1:19" ht="32.1" customHeight="1">
      <c r="A505" s="186"/>
      <c r="B505" s="186"/>
      <c r="C505" s="186"/>
      <c r="D505" s="185"/>
    </row>
    <row r="506" spans="1:19" ht="32.1" customHeight="1">
      <c r="A506" s="266" t="s">
        <v>3920</v>
      </c>
      <c r="B506" s="266" t="s">
        <v>3967</v>
      </c>
      <c r="C506" s="690"/>
      <c r="D506" s="691"/>
      <c r="E506" s="691"/>
      <c r="F506" s="691"/>
      <c r="G506" s="691"/>
      <c r="H506" s="691"/>
      <c r="I506" s="691"/>
      <c r="J506" s="691"/>
      <c r="K506" s="691"/>
      <c r="L506" s="691"/>
      <c r="M506" s="691"/>
      <c r="N506" s="691"/>
      <c r="O506" s="691"/>
      <c r="P506" s="691"/>
      <c r="Q506" s="691"/>
      <c r="R506" s="691"/>
      <c r="S506" s="691"/>
    </row>
    <row r="507" spans="1:19" ht="32.1" customHeight="1">
      <c r="A507" s="270" t="s">
        <v>3881</v>
      </c>
      <c r="B507" s="272">
        <f>COUNTIF(E11:P503,"&lt;=5")</f>
        <v>83</v>
      </c>
      <c r="C507" s="690"/>
      <c r="D507" s="691"/>
      <c r="E507" s="691"/>
      <c r="F507" s="691"/>
      <c r="G507" s="691"/>
      <c r="H507" s="691"/>
      <c r="I507" s="691"/>
      <c r="J507" s="691"/>
      <c r="K507" s="691"/>
      <c r="L507" s="691"/>
      <c r="M507" s="691"/>
      <c r="N507" s="691"/>
      <c r="O507" s="691"/>
      <c r="P507" s="691"/>
      <c r="Q507" s="691"/>
      <c r="R507" s="691"/>
      <c r="S507" s="691"/>
    </row>
    <row r="508" spans="1:19" ht="32.1" customHeight="1">
      <c r="A508" s="257" t="s">
        <v>3882</v>
      </c>
      <c r="B508" s="269">
        <f>COUNTIFS(E11:P503,"&gt;5",E11:P503,"&lt;=14")</f>
        <v>1</v>
      </c>
      <c r="C508" s="690"/>
      <c r="D508" s="691"/>
      <c r="E508" s="691"/>
      <c r="F508" s="691"/>
      <c r="G508" s="691"/>
      <c r="H508" s="691"/>
      <c r="I508" s="691"/>
      <c r="J508" s="691"/>
      <c r="K508" s="691"/>
      <c r="L508" s="691"/>
      <c r="M508" s="691"/>
      <c r="N508" s="691"/>
      <c r="O508" s="691"/>
      <c r="P508" s="691"/>
      <c r="Q508" s="691"/>
      <c r="R508" s="691"/>
      <c r="S508" s="691"/>
    </row>
    <row r="509" spans="1:19" ht="32.1" customHeight="1">
      <c r="A509" s="258" t="s">
        <v>3883</v>
      </c>
      <c r="B509" s="264">
        <f>COUNTIFS(E11:P503,"&gt;14",E11:P503,"&lt;=35")</f>
        <v>4</v>
      </c>
      <c r="C509" s="509"/>
      <c r="D509" s="186"/>
    </row>
    <row r="510" spans="1:19" ht="32.1" customHeight="1">
      <c r="A510" s="259" t="s">
        <v>3884</v>
      </c>
      <c r="B510" s="264">
        <f>COUNTIFS(E11:P503,"&gt;35",E11:P503,"&lt;=80")</f>
        <v>65</v>
      </c>
      <c r="D510" s="186"/>
    </row>
    <row r="511" spans="1:19" ht="32.1" customHeight="1">
      <c r="A511" s="260" t="s">
        <v>3885</v>
      </c>
      <c r="B511" s="264">
        <f>COUNTIFS(E11:P503,"&gt;80",E11:P503,"&lt;=100")</f>
        <v>485</v>
      </c>
      <c r="D511" s="186"/>
    </row>
    <row r="512" spans="1:19" ht="32.1" customHeight="1">
      <c r="A512" s="279" t="s">
        <v>3886</v>
      </c>
      <c r="B512" s="280">
        <f>COUNT(E11:P503)</f>
        <v>638</v>
      </c>
      <c r="D512" s="186"/>
    </row>
    <row r="513" spans="1:4" ht="36.75" customHeight="1">
      <c r="A513" s="263" t="s">
        <v>3888</v>
      </c>
      <c r="B513" s="265">
        <f>B512-B507</f>
        <v>555</v>
      </c>
      <c r="C513" s="186"/>
      <c r="D513" s="186"/>
    </row>
    <row r="514" spans="1:4" ht="32.1" customHeight="1">
      <c r="A514" s="186"/>
      <c r="B514" s="186"/>
      <c r="C514" s="186"/>
      <c r="D514" s="186"/>
    </row>
    <row r="515" spans="1:4" ht="32.1" customHeight="1">
      <c r="A515" s="186"/>
      <c r="B515" s="186"/>
      <c r="C515" s="186"/>
    </row>
    <row r="516" spans="1:4" ht="32.1" customHeight="1">
      <c r="A516" s="186"/>
      <c r="B516" s="186"/>
      <c r="C516" s="186"/>
    </row>
    <row r="517" spans="1:4" ht="32.1" customHeight="1">
      <c r="A517" s="186"/>
      <c r="B517" s="186"/>
      <c r="C517" s="186"/>
    </row>
    <row r="518" spans="1:4" ht="32.1" customHeight="1">
      <c r="A518" s="186"/>
      <c r="B518" s="186"/>
      <c r="C518" s="186"/>
    </row>
    <row r="519" spans="1:4" ht="32.1" customHeight="1">
      <c r="A519" s="186"/>
      <c r="B519" s="186"/>
      <c r="C519" s="186"/>
    </row>
    <row r="520" spans="1:4" ht="32.1" customHeight="1">
      <c r="A520" s="186"/>
      <c r="B520" s="186"/>
      <c r="C520" s="186"/>
    </row>
    <row r="521" spans="1:4" ht="32.1" customHeight="1">
      <c r="A521" s="186"/>
      <c r="B521" s="186"/>
    </row>
    <row r="522" spans="1:4" ht="32.1" customHeight="1">
      <c r="A522" s="186"/>
      <c r="B522" s="186"/>
      <c r="C522" s="186"/>
      <c r="D522" s="186"/>
    </row>
    <row r="523" spans="1:4" ht="32.1" customHeight="1">
      <c r="A523" s="186"/>
      <c r="B523" s="186"/>
      <c r="C523" s="186"/>
      <c r="D523" s="186"/>
    </row>
    <row r="524" spans="1:4" ht="32.1" customHeight="1">
      <c r="A524" s="186"/>
      <c r="B524" s="186"/>
      <c r="C524" s="186"/>
      <c r="D524" s="186"/>
    </row>
    <row r="525" spans="1:4" ht="32.1" customHeight="1">
      <c r="A525" s="186"/>
      <c r="B525" s="186"/>
      <c r="C525" s="186"/>
      <c r="D525" s="186"/>
    </row>
    <row r="526" spans="1:4" ht="32.1" customHeight="1">
      <c r="A526" s="186"/>
      <c r="B526" s="186"/>
      <c r="C526" s="186"/>
      <c r="D526" s="186"/>
    </row>
    <row r="527" spans="1:4" ht="32.1" customHeight="1">
      <c r="A527" s="186"/>
      <c r="B527" s="186"/>
      <c r="C527" s="186"/>
      <c r="D527" s="186"/>
    </row>
    <row r="528" spans="1:4" ht="32.1" customHeight="1">
      <c r="A528" s="186"/>
      <c r="B528" s="186"/>
      <c r="C528" s="186"/>
      <c r="D528" s="186"/>
    </row>
    <row r="529" s="186" customFormat="1" ht="32.1" customHeight="1"/>
    <row r="530" s="186" customFormat="1" ht="32.1" customHeight="1"/>
    <row r="531" s="186" customFormat="1" ht="32.1" customHeight="1"/>
    <row r="532" s="186" customFormat="1" ht="32.1" customHeight="1"/>
    <row r="533" s="186" customFormat="1" ht="32.1" customHeight="1"/>
    <row r="534" s="186" customFormat="1" ht="32.1" customHeight="1"/>
    <row r="535" s="186" customFormat="1" ht="32.1" customHeight="1"/>
    <row r="536" s="186" customFormat="1" ht="32.1" customHeight="1"/>
    <row r="537" s="186" customFormat="1" ht="32.1" customHeight="1"/>
    <row r="538" s="186" customFormat="1" ht="32.1" customHeight="1"/>
    <row r="539" s="186" customFormat="1" ht="32.1" customHeight="1"/>
    <row r="540" s="186" customFormat="1" ht="32.1" customHeight="1"/>
    <row r="541" s="186" customFormat="1" ht="32.1" customHeight="1"/>
    <row r="542" s="186" customFormat="1" ht="32.1" customHeight="1"/>
    <row r="543" s="186" customFormat="1" ht="32.1" customHeight="1"/>
    <row r="544" s="186" customFormat="1" ht="32.1" customHeight="1"/>
    <row r="545" s="186" customFormat="1" ht="32.1" customHeight="1"/>
    <row r="546" s="186" customFormat="1" ht="32.1" customHeight="1"/>
    <row r="547" s="186" customFormat="1" ht="32.1" customHeight="1"/>
    <row r="548" s="186" customFormat="1" ht="32.1" customHeight="1"/>
    <row r="549" s="186" customFormat="1" ht="32.1" customHeight="1"/>
    <row r="550" s="186" customFormat="1" ht="32.1" customHeight="1"/>
    <row r="551" s="186" customFormat="1" ht="32.1" customHeight="1"/>
    <row r="552" s="186" customFormat="1" ht="32.1" customHeight="1"/>
    <row r="553" s="186" customFormat="1" ht="32.1" customHeight="1"/>
    <row r="554" s="186" customFormat="1" ht="32.1" customHeight="1"/>
    <row r="555" s="186" customFormat="1" ht="32.1" customHeight="1"/>
    <row r="556" s="186" customFormat="1" ht="32.1" customHeight="1"/>
    <row r="557" s="186" customFormat="1" ht="32.1" customHeight="1"/>
    <row r="558" s="186" customFormat="1" ht="32.1" customHeight="1"/>
    <row r="559" s="186" customFormat="1" ht="32.1" customHeight="1"/>
    <row r="560" s="186" customFormat="1" ht="32.1" customHeight="1"/>
    <row r="561" s="186" customFormat="1" ht="32.1" customHeight="1"/>
    <row r="562" s="186" customFormat="1" ht="32.1" customHeight="1"/>
    <row r="563" s="186" customFormat="1" ht="32.1" customHeight="1"/>
    <row r="564" s="186" customFormat="1" ht="32.1" customHeight="1"/>
    <row r="565" s="186" customFormat="1" ht="32.1" customHeight="1"/>
    <row r="566" s="186" customFormat="1" ht="32.1" customHeight="1"/>
    <row r="567" s="186" customFormat="1" ht="32.1" customHeight="1"/>
    <row r="568" s="186" customFormat="1" ht="32.1" customHeight="1"/>
    <row r="569" s="186" customFormat="1" ht="32.1" customHeight="1"/>
    <row r="570" s="186" customFormat="1" ht="32.1" customHeight="1"/>
    <row r="571" s="186" customFormat="1" ht="32.1" customHeight="1"/>
    <row r="572" s="186" customFormat="1" ht="32.1" customHeight="1"/>
    <row r="573" s="186" customFormat="1" ht="32.1" customHeight="1"/>
    <row r="574" s="186" customFormat="1" ht="32.1" customHeight="1"/>
    <row r="575" s="186" customFormat="1" ht="32.1" customHeight="1"/>
    <row r="576" s="186" customFormat="1" ht="32.1" customHeight="1"/>
    <row r="577" s="186" customFormat="1" ht="32.1" customHeight="1"/>
    <row r="578" s="186" customFormat="1" ht="32.1" customHeight="1"/>
    <row r="579" s="186" customFormat="1" ht="32.1" customHeight="1"/>
    <row r="580" s="186" customFormat="1" ht="32.1" customHeight="1"/>
    <row r="581" s="186" customFormat="1" ht="32.1" customHeight="1"/>
    <row r="582" s="186" customFormat="1" ht="32.1" customHeight="1"/>
    <row r="583" s="186" customFormat="1" ht="32.1" customHeight="1"/>
    <row r="584" s="186" customFormat="1" ht="32.1" customHeight="1"/>
    <row r="585" s="186" customFormat="1" ht="32.1" customHeight="1"/>
    <row r="586" s="186" customFormat="1" ht="32.1" customHeight="1"/>
    <row r="587" s="186" customFormat="1" ht="32.1" customHeight="1"/>
    <row r="588" s="186" customFormat="1" ht="32.1" customHeight="1"/>
    <row r="589" s="186" customFormat="1" ht="32.1" customHeight="1"/>
    <row r="590" s="186" customFormat="1" ht="32.1" customHeight="1"/>
    <row r="591" s="186" customFormat="1" ht="32.1" customHeight="1"/>
    <row r="592" s="186" customFormat="1" ht="32.1" customHeight="1"/>
    <row r="593" s="186" customFormat="1" ht="32.1" customHeight="1"/>
    <row r="594" s="186" customFormat="1" ht="32.1" customHeight="1"/>
    <row r="595" s="186" customFormat="1" ht="32.1" customHeight="1"/>
    <row r="596" s="186" customFormat="1" ht="32.1" customHeight="1"/>
    <row r="597" s="186" customFormat="1" ht="32.1" customHeight="1"/>
    <row r="598" s="186" customFormat="1" ht="32.1" customHeight="1"/>
    <row r="599" s="186" customFormat="1" ht="32.1" customHeight="1"/>
    <row r="600" s="186" customFormat="1" ht="32.1" customHeight="1"/>
    <row r="601" s="186" customFormat="1" ht="32.1" customHeight="1"/>
    <row r="602" s="186" customFormat="1" ht="32.1" customHeight="1"/>
    <row r="603" s="186" customFormat="1" ht="32.1" customHeight="1"/>
    <row r="604" s="186" customFormat="1" ht="32.1" customHeight="1"/>
    <row r="605" s="186" customFormat="1" ht="32.1" customHeight="1"/>
    <row r="606" s="186" customFormat="1" ht="32.1" customHeight="1"/>
    <row r="607" s="186" customFormat="1" ht="32.1" customHeight="1"/>
    <row r="608" s="186" customFormat="1" ht="32.1" customHeight="1"/>
    <row r="609" s="186" customFormat="1" ht="32.1" customHeight="1"/>
    <row r="610" s="186" customFormat="1" ht="32.1" customHeight="1"/>
    <row r="611" s="186" customFormat="1" ht="32.1" customHeight="1"/>
    <row r="612" s="186" customFormat="1" ht="32.1" customHeight="1"/>
    <row r="613" s="186" customFormat="1" ht="32.1" customHeight="1"/>
    <row r="614" s="186" customFormat="1" ht="32.1" customHeight="1"/>
    <row r="615" s="186" customFormat="1" ht="32.1" customHeight="1"/>
    <row r="616" s="186" customFormat="1" ht="32.1" customHeight="1"/>
    <row r="617" s="186" customFormat="1" ht="32.1" customHeight="1"/>
    <row r="618" s="186" customFormat="1" ht="32.1" customHeight="1"/>
    <row r="619" s="186" customFormat="1" ht="32.1" customHeight="1"/>
    <row r="620" s="186" customFormat="1" ht="32.1" customHeight="1"/>
    <row r="621" s="186" customFormat="1" ht="32.1" customHeight="1"/>
    <row r="622" s="186" customFormat="1" ht="32.1" customHeight="1"/>
    <row r="623" s="186" customFormat="1" ht="32.1" customHeight="1"/>
    <row r="624" s="186" customFormat="1" ht="32.1" customHeight="1"/>
    <row r="625" s="186" customFormat="1" ht="32.1" customHeight="1"/>
    <row r="626" s="186" customFormat="1" ht="32.1" customHeight="1"/>
    <row r="627" s="186" customFormat="1" ht="32.1" customHeight="1"/>
    <row r="628" s="186" customFormat="1" ht="32.1" customHeight="1"/>
    <row r="629" s="186" customFormat="1" ht="32.1" customHeight="1"/>
    <row r="630" s="186" customFormat="1" ht="32.1" customHeight="1"/>
    <row r="631" s="186" customFormat="1" ht="32.1" customHeight="1"/>
    <row r="632" s="186" customFormat="1" ht="32.1" customHeight="1"/>
    <row r="633" s="186" customFormat="1" ht="32.1" customHeight="1"/>
    <row r="634" s="186" customFormat="1" ht="32.1" customHeight="1"/>
    <row r="635" s="186" customFormat="1" ht="32.1" customHeight="1"/>
    <row r="636" s="186" customFormat="1" ht="32.1" customHeight="1"/>
    <row r="637" s="186" customFormat="1" ht="32.1" customHeight="1"/>
    <row r="638" s="186" customFormat="1" ht="32.1" customHeight="1"/>
    <row r="639" s="186" customFormat="1" ht="32.1" customHeight="1"/>
    <row r="640" s="186" customFormat="1" ht="32.1" customHeight="1"/>
    <row r="641" spans="1:4" ht="32.1" customHeight="1">
      <c r="A641" s="186"/>
      <c r="B641" s="186"/>
      <c r="C641" s="186"/>
      <c r="D641" s="186"/>
    </row>
    <row r="642" spans="1:4" ht="32.1" customHeight="1">
      <c r="A642" s="186"/>
      <c r="B642" s="186"/>
      <c r="C642" s="186"/>
      <c r="D642" s="186"/>
    </row>
    <row r="643" spans="1:4" ht="32.1" customHeight="1">
      <c r="A643" s="186"/>
      <c r="B643" s="186"/>
      <c r="C643" s="186"/>
      <c r="D643" s="186"/>
    </row>
    <row r="644" spans="1:4" ht="32.1" customHeight="1">
      <c r="A644" s="186"/>
      <c r="B644" s="186"/>
      <c r="C644" s="186"/>
      <c r="D644" s="186"/>
    </row>
    <row r="645" spans="1:4" ht="32.1" customHeight="1">
      <c r="A645" s="186"/>
      <c r="B645" s="186"/>
      <c r="C645" s="186"/>
      <c r="D645" s="186"/>
    </row>
    <row r="646" spans="1:4">
      <c r="A646" s="186"/>
      <c r="B646" s="186"/>
      <c r="C646" s="186"/>
      <c r="D646" s="186"/>
    </row>
    <row r="647" spans="1:4">
      <c r="A647" s="186"/>
      <c r="B647" s="186"/>
      <c r="C647" s="186"/>
      <c r="D647" s="186"/>
    </row>
    <row r="648" spans="1:4">
      <c r="A648" s="186"/>
      <c r="B648" s="186"/>
      <c r="C648" s="186"/>
      <c r="D648" s="186"/>
    </row>
    <row r="649" spans="1:4">
      <c r="A649" s="186"/>
      <c r="B649" s="186"/>
      <c r="C649" s="186"/>
      <c r="D649" s="186"/>
    </row>
    <row r="650" spans="1:4">
      <c r="A650" s="186"/>
      <c r="B650" s="186"/>
      <c r="C650" s="186"/>
      <c r="D650" s="186"/>
    </row>
    <row r="651" spans="1:4">
      <c r="A651" s="186"/>
      <c r="B651" s="186"/>
      <c r="C651" s="186"/>
      <c r="D651" s="186"/>
    </row>
    <row r="652" spans="1:4"/>
    <row r="653" spans="1:4"/>
    <row r="654" spans="1:4"/>
    <row r="655" spans="1:4"/>
    <row r="656" spans="1:4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</sheetData>
  <autoFilter ref="A10:W503" xr:uid="{00000000-0009-0000-0000-000003000000}">
    <sortState ref="A12:W510">
      <sortCondition ref="A9:A510"/>
    </sortState>
  </autoFilter>
  <customSheetViews>
    <customSheetView guid="{75DD7674-E7DE-4BB1-A36D-76AA33452CB3}" scale="60" showAutoFilter="1" hiddenRows="1" hiddenColumns="1">
      <pane xSplit="3" ySplit="9" topLeftCell="D10" activePane="bottomRight" state="frozenSplit"/>
      <selection pane="bottomRight" activeCell="D256" sqref="D256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9:W506" xr:uid="{00000000-0000-0000-0000-000000000000}">
        <sortState ref="A12:W506">
          <sortCondition ref="A9:A506"/>
        </sortState>
      </autoFilter>
    </customSheetView>
    <customSheetView guid="{AEDE1BDB-8710-4CDA-8488-31F49D423ACE}" scale="60" hiddenRows="1">
      <pane xSplit="3" ySplit="9" topLeftCell="D470" activePane="bottomRight" state="frozenSplit"/>
      <selection pane="bottomRight" activeCell="D488" sqref="D48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9" topLeftCell="D335" activePane="bottomRight" state="frozenSplit"/>
      <selection pane="bottomRight" activeCell="C372" sqref="C37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45C8AF51-29EC-46A5-AB7F-1F0634E55D82}" scale="60" hiddenRows="1" hiddenColumns="1">
      <pane xSplit="3" ySplit="9" topLeftCell="D10" activePane="bottomRight" state="frozenSplit"/>
      <selection pane="bottomRight" activeCell="B2" sqref="B2:D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</customSheetViews>
  <mergeCells count="21">
    <mergeCell ref="A9:A10"/>
    <mergeCell ref="E9:P9"/>
    <mergeCell ref="Q9:Q10"/>
    <mergeCell ref="C506:S507"/>
    <mergeCell ref="C508:S508"/>
    <mergeCell ref="S9:S10"/>
    <mergeCell ref="R9:R10"/>
    <mergeCell ref="B9:B10"/>
    <mergeCell ref="C9:C10"/>
    <mergeCell ref="D9:D10"/>
    <mergeCell ref="S5:S6"/>
    <mergeCell ref="B1:D1"/>
    <mergeCell ref="B2:D2"/>
    <mergeCell ref="B3:D3"/>
    <mergeCell ref="E5:G6"/>
    <mergeCell ref="A7:B7"/>
    <mergeCell ref="H5:J6"/>
    <mergeCell ref="K5:M6"/>
    <mergeCell ref="N5:P6"/>
    <mergeCell ref="Q5:R6"/>
    <mergeCell ref="B5:C6"/>
  </mergeCells>
  <phoneticPr fontId="2" type="noConversion"/>
  <conditionalFormatting sqref="E212:P214 E62:P70 E132:P132 E164:P164 E73:P74 E90:P90 E92:P92 E95:P95 E142:P143 E134:P134 E120:P120 E136:P136 E138:P138 E128:P128 E170:P173 E193:P193 E206:P206 E216:P216 E366:P366 E357:P357 E368:P368 E353:P354 E359:P364 E371:P375 K16:P16 I16 E108:P112 E130:P130 E145:J146 E148:J148 E149:P149 E220:P224">
    <cfRule type="containsBlanks" dxfId="10895" priority="5433" stopIfTrue="1">
      <formula>LEN(TRIM(E16))=0</formula>
    </cfRule>
    <cfRule type="cellIs" dxfId="10894" priority="5434" stopIfTrue="1" operator="between">
      <formula>79.1</formula>
      <formula>100</formula>
    </cfRule>
    <cfRule type="cellIs" dxfId="10893" priority="5435" stopIfTrue="1" operator="between">
      <formula>34.1</formula>
      <formula>79</formula>
    </cfRule>
    <cfRule type="cellIs" dxfId="10892" priority="5436" stopIfTrue="1" operator="between">
      <formula>13.1</formula>
      <formula>34</formula>
    </cfRule>
    <cfRule type="cellIs" dxfId="10891" priority="5437" stopIfTrue="1" operator="between">
      <formula>5.1</formula>
      <formula>13</formula>
    </cfRule>
    <cfRule type="cellIs" dxfId="10890" priority="5438" stopIfTrue="1" operator="between">
      <formula>0</formula>
      <formula>5</formula>
    </cfRule>
    <cfRule type="containsBlanks" dxfId="10889" priority="5439" stopIfTrue="1">
      <formula>LEN(TRIM(E16))=0</formula>
    </cfRule>
  </conditionalFormatting>
  <conditionalFormatting sqref="E326 E229:P232 O226:P226 M228:P228 O233:P233 N234:P234 N236:P236 E386:J388 E41:P42 E75:P78 Q161 E252:Q252 E280:Q281 Q283:Q287 E283:P283 F333:I334 Q95 E241:P241 E243:P243 E246:P248 Q251 E269:Q270 Q265:Q268 E256:Q264 Q253:Q255 Q273 Q275:Q279 Q293:Q326 E328 E330 E342:E344 Q371:Q461 Q504 Q106 Q108:Q112 Q114:Q130 Q132:Q159 Q164:Q195 Q197:Q248 E332:E340 Q328:Q369 Q11:Q92">
    <cfRule type="containsBlanks" dxfId="10888" priority="5251" stopIfTrue="1">
      <formula>LEN(TRIM(E11))=0</formula>
    </cfRule>
    <cfRule type="cellIs" dxfId="10887" priority="5252" stopIfTrue="1" operator="between">
      <formula>80.1</formula>
      <formula>100</formula>
    </cfRule>
    <cfRule type="cellIs" dxfId="10886" priority="5253" stopIfTrue="1" operator="between">
      <formula>35.1</formula>
      <formula>80</formula>
    </cfRule>
    <cfRule type="cellIs" dxfId="10885" priority="5254" stopIfTrue="1" operator="between">
      <formula>14.1</formula>
      <formula>35</formula>
    </cfRule>
    <cfRule type="cellIs" dxfId="10884" priority="5255" stopIfTrue="1" operator="between">
      <formula>5.1</formula>
      <formula>14</formula>
    </cfRule>
    <cfRule type="cellIs" dxfId="10883" priority="5256" stopIfTrue="1" operator="between">
      <formula>0</formula>
      <formula>5</formula>
    </cfRule>
    <cfRule type="containsBlanks" dxfId="10882" priority="5257" stopIfTrue="1">
      <formula>LEN(TRIM(E11))=0</formula>
    </cfRule>
  </conditionalFormatting>
  <conditionalFormatting sqref="E22:J25 E33:J35 E27:J29 E31:J31">
    <cfRule type="containsBlanks" dxfId="10881" priority="5210" stopIfTrue="1">
      <formula>LEN(TRIM(E22))=0</formula>
    </cfRule>
    <cfRule type="cellIs" dxfId="10880" priority="5211" stopIfTrue="1" operator="between">
      <formula>79.1</formula>
      <formula>100</formula>
    </cfRule>
    <cfRule type="cellIs" dxfId="10879" priority="5212" stopIfTrue="1" operator="between">
      <formula>34.1</formula>
      <formula>79</formula>
    </cfRule>
    <cfRule type="cellIs" dxfId="10878" priority="5213" stopIfTrue="1" operator="between">
      <formula>13.1</formula>
      <formula>34</formula>
    </cfRule>
    <cfRule type="cellIs" dxfId="10877" priority="5214" stopIfTrue="1" operator="between">
      <formula>5.1</formula>
      <formula>13</formula>
    </cfRule>
    <cfRule type="cellIs" dxfId="10876" priority="5215" stopIfTrue="1" operator="between">
      <formula>0</formula>
      <formula>5</formula>
    </cfRule>
    <cfRule type="containsBlanks" dxfId="10875" priority="5216" stopIfTrue="1">
      <formula>LEN(TRIM(E22))=0</formula>
    </cfRule>
  </conditionalFormatting>
  <conditionalFormatting sqref="E346">
    <cfRule type="containsBlanks" dxfId="10874" priority="5147" stopIfTrue="1">
      <formula>LEN(TRIM(E346))=0</formula>
    </cfRule>
    <cfRule type="cellIs" dxfId="10873" priority="5148" stopIfTrue="1" operator="between">
      <formula>79.1</formula>
      <formula>100</formula>
    </cfRule>
    <cfRule type="cellIs" dxfId="10872" priority="5149" stopIfTrue="1" operator="between">
      <formula>34.1</formula>
      <formula>79</formula>
    </cfRule>
    <cfRule type="cellIs" dxfId="10871" priority="5150" stopIfTrue="1" operator="between">
      <formula>13.1</formula>
      <formula>34</formula>
    </cfRule>
    <cfRule type="cellIs" dxfId="10870" priority="5151" stopIfTrue="1" operator="between">
      <formula>5.1</formula>
      <formula>13</formula>
    </cfRule>
    <cfRule type="cellIs" dxfId="10869" priority="5152" stopIfTrue="1" operator="between">
      <formula>0</formula>
      <formula>5</formula>
    </cfRule>
    <cfRule type="containsBlanks" dxfId="10868" priority="5153" stopIfTrue="1">
      <formula>LEN(TRIM(E346))=0</formula>
    </cfRule>
  </conditionalFormatting>
  <conditionalFormatting sqref="N392:P392 E394:P394 O395:P395">
    <cfRule type="containsBlanks" dxfId="10867" priority="5140" stopIfTrue="1">
      <formula>LEN(TRIM(E392))=0</formula>
    </cfRule>
    <cfRule type="cellIs" dxfId="10866" priority="5141" stopIfTrue="1" operator="between">
      <formula>79.1</formula>
      <formula>100</formula>
    </cfRule>
    <cfRule type="cellIs" dxfId="10865" priority="5142" stopIfTrue="1" operator="between">
      <formula>34.1</formula>
      <formula>79</formula>
    </cfRule>
    <cfRule type="cellIs" dxfId="10864" priority="5143" stopIfTrue="1" operator="between">
      <formula>13.1</formula>
      <formula>34</formula>
    </cfRule>
    <cfRule type="cellIs" dxfId="10863" priority="5144" stopIfTrue="1" operator="between">
      <formula>5.1</formula>
      <formula>13</formula>
    </cfRule>
    <cfRule type="cellIs" dxfId="10862" priority="5145" stopIfTrue="1" operator="between">
      <formula>0</formula>
      <formula>5</formula>
    </cfRule>
    <cfRule type="containsBlanks" dxfId="10861" priority="5146" stopIfTrue="1">
      <formula>LEN(TRIM(E392))=0</formula>
    </cfRule>
  </conditionalFormatting>
  <conditionalFormatting sqref="F44 H44:P44">
    <cfRule type="containsBlanks" dxfId="10860" priority="5089" stopIfTrue="1">
      <formula>LEN(TRIM(F44))=0</formula>
    </cfRule>
    <cfRule type="cellIs" dxfId="10859" priority="5090" stopIfTrue="1" operator="between">
      <formula>80.1</formula>
      <formula>100</formula>
    </cfRule>
    <cfRule type="cellIs" dxfId="10858" priority="5091" stopIfTrue="1" operator="between">
      <formula>35.1</formula>
      <formula>80</formula>
    </cfRule>
    <cfRule type="cellIs" dxfId="10857" priority="5092" stopIfTrue="1" operator="between">
      <formula>14.1</formula>
      <formula>35</formula>
    </cfRule>
    <cfRule type="cellIs" dxfId="10856" priority="5093" stopIfTrue="1" operator="between">
      <formula>5.1</formula>
      <formula>14</formula>
    </cfRule>
    <cfRule type="cellIs" dxfId="10855" priority="5094" stopIfTrue="1" operator="between">
      <formula>0</formula>
      <formula>5</formula>
    </cfRule>
    <cfRule type="containsBlanks" dxfId="10854" priority="5095" stopIfTrue="1">
      <formula>LEN(TRIM(F44))=0</formula>
    </cfRule>
  </conditionalFormatting>
  <conditionalFormatting sqref="E44">
    <cfRule type="containsBlanks" dxfId="10853" priority="5082" stopIfTrue="1">
      <formula>LEN(TRIM(E44))=0</formula>
    </cfRule>
    <cfRule type="cellIs" dxfId="10852" priority="5083" stopIfTrue="1" operator="between">
      <formula>80.1</formula>
      <formula>100</formula>
    </cfRule>
    <cfRule type="cellIs" dxfId="10851" priority="5084" stopIfTrue="1" operator="between">
      <formula>35.1</formula>
      <formula>80</formula>
    </cfRule>
    <cfRule type="cellIs" dxfId="10850" priority="5085" stopIfTrue="1" operator="between">
      <formula>14.1</formula>
      <formula>35</formula>
    </cfRule>
    <cfRule type="cellIs" dxfId="10849" priority="5086" stopIfTrue="1" operator="between">
      <formula>5.1</formula>
      <formula>14</formula>
    </cfRule>
    <cfRule type="cellIs" dxfId="10848" priority="5087" stopIfTrue="1" operator="between">
      <formula>0</formula>
      <formula>5</formula>
    </cfRule>
    <cfRule type="containsBlanks" dxfId="10847" priority="5088" stopIfTrue="1">
      <formula>LEN(TRIM(E44))=0</formula>
    </cfRule>
  </conditionalFormatting>
  <conditionalFormatting sqref="F49:P49">
    <cfRule type="containsBlanks" dxfId="10846" priority="4913" stopIfTrue="1">
      <formula>LEN(TRIM(F49))=0</formula>
    </cfRule>
    <cfRule type="cellIs" dxfId="10845" priority="4914" stopIfTrue="1" operator="between">
      <formula>80.1</formula>
      <formula>100</formula>
    </cfRule>
    <cfRule type="cellIs" dxfId="10844" priority="4915" stopIfTrue="1" operator="between">
      <formula>35.1</formula>
      <formula>80</formula>
    </cfRule>
    <cfRule type="cellIs" dxfId="10843" priority="4916" stopIfTrue="1" operator="between">
      <formula>14.1</formula>
      <formula>35</formula>
    </cfRule>
    <cfRule type="cellIs" dxfId="10842" priority="4917" stopIfTrue="1" operator="between">
      <formula>5.1</formula>
      <formula>14</formula>
    </cfRule>
    <cfRule type="cellIs" dxfId="10841" priority="4918" stopIfTrue="1" operator="between">
      <formula>0</formula>
      <formula>5</formula>
    </cfRule>
    <cfRule type="containsBlanks" dxfId="10840" priority="4919" stopIfTrue="1">
      <formula>LEN(TRIM(F49))=0</formula>
    </cfRule>
  </conditionalFormatting>
  <conditionalFormatting sqref="E49">
    <cfRule type="containsBlanks" dxfId="10839" priority="4906" stopIfTrue="1">
      <formula>LEN(TRIM(E49))=0</formula>
    </cfRule>
    <cfRule type="cellIs" dxfId="10838" priority="4907" stopIfTrue="1" operator="between">
      <formula>80.1</formula>
      <formula>100</formula>
    </cfRule>
    <cfRule type="cellIs" dxfId="10837" priority="4908" stopIfTrue="1" operator="between">
      <formula>35.1</formula>
      <formula>80</formula>
    </cfRule>
    <cfRule type="cellIs" dxfId="10836" priority="4909" stopIfTrue="1" operator="between">
      <formula>14.1</formula>
      <formula>35</formula>
    </cfRule>
    <cfRule type="cellIs" dxfId="10835" priority="4910" stopIfTrue="1" operator="between">
      <formula>5.1</formula>
      <formula>14</formula>
    </cfRule>
    <cfRule type="cellIs" dxfId="10834" priority="4911" stopIfTrue="1" operator="between">
      <formula>0</formula>
      <formula>5</formula>
    </cfRule>
    <cfRule type="containsBlanks" dxfId="10833" priority="4912" stopIfTrue="1">
      <formula>LEN(TRIM(E49))=0</formula>
    </cfRule>
  </conditionalFormatting>
  <conditionalFormatting sqref="F45:P45">
    <cfRule type="containsBlanks" dxfId="10832" priority="4869" stopIfTrue="1">
      <formula>LEN(TRIM(F45))=0</formula>
    </cfRule>
    <cfRule type="cellIs" dxfId="10831" priority="4870" stopIfTrue="1" operator="between">
      <formula>80.1</formula>
      <formula>100</formula>
    </cfRule>
    <cfRule type="cellIs" dxfId="10830" priority="4871" stopIfTrue="1" operator="between">
      <formula>35.1</formula>
      <formula>80</formula>
    </cfRule>
    <cfRule type="cellIs" dxfId="10829" priority="4872" stopIfTrue="1" operator="between">
      <formula>14.1</formula>
      <formula>35</formula>
    </cfRule>
    <cfRule type="cellIs" dxfId="10828" priority="4873" stopIfTrue="1" operator="between">
      <formula>5.1</formula>
      <formula>14</formula>
    </cfRule>
    <cfRule type="cellIs" dxfId="10827" priority="4874" stopIfTrue="1" operator="between">
      <formula>0</formula>
      <formula>5</formula>
    </cfRule>
    <cfRule type="containsBlanks" dxfId="10826" priority="4875" stopIfTrue="1">
      <formula>LEN(TRIM(F45))=0</formula>
    </cfRule>
  </conditionalFormatting>
  <conditionalFormatting sqref="E45">
    <cfRule type="containsBlanks" dxfId="10825" priority="4862" stopIfTrue="1">
      <formula>LEN(TRIM(E45))=0</formula>
    </cfRule>
    <cfRule type="cellIs" dxfId="10824" priority="4863" stopIfTrue="1" operator="between">
      <formula>80.1</formula>
      <formula>100</formula>
    </cfRule>
    <cfRule type="cellIs" dxfId="10823" priority="4864" stopIfTrue="1" operator="between">
      <formula>35.1</formula>
      <formula>80</formula>
    </cfRule>
    <cfRule type="cellIs" dxfId="10822" priority="4865" stopIfTrue="1" operator="between">
      <formula>14.1</formula>
      <formula>35</formula>
    </cfRule>
    <cfRule type="cellIs" dxfId="10821" priority="4866" stopIfTrue="1" operator="between">
      <formula>5.1</formula>
      <formula>14</formula>
    </cfRule>
    <cfRule type="cellIs" dxfId="10820" priority="4867" stopIfTrue="1" operator="between">
      <formula>0</formula>
      <formula>5</formula>
    </cfRule>
    <cfRule type="containsBlanks" dxfId="10819" priority="4868" stopIfTrue="1">
      <formula>LEN(TRIM(E45))=0</formula>
    </cfRule>
  </conditionalFormatting>
  <conditionalFormatting sqref="F43:P43">
    <cfRule type="containsBlanks" dxfId="10818" priority="4825" stopIfTrue="1">
      <formula>LEN(TRIM(F43))=0</formula>
    </cfRule>
    <cfRule type="cellIs" dxfId="10817" priority="4826" stopIfTrue="1" operator="between">
      <formula>80.1</formula>
      <formula>100</formula>
    </cfRule>
    <cfRule type="cellIs" dxfId="10816" priority="4827" stopIfTrue="1" operator="between">
      <formula>35.1</formula>
      <formula>80</formula>
    </cfRule>
    <cfRule type="cellIs" dxfId="10815" priority="4828" stopIfTrue="1" operator="between">
      <formula>14.1</formula>
      <formula>35</formula>
    </cfRule>
    <cfRule type="cellIs" dxfId="10814" priority="4829" stopIfTrue="1" operator="between">
      <formula>5.1</formula>
      <formula>14</formula>
    </cfRule>
    <cfRule type="cellIs" dxfId="10813" priority="4830" stopIfTrue="1" operator="between">
      <formula>0</formula>
      <formula>5</formula>
    </cfRule>
    <cfRule type="containsBlanks" dxfId="10812" priority="4831" stopIfTrue="1">
      <formula>LEN(TRIM(F43))=0</formula>
    </cfRule>
  </conditionalFormatting>
  <conditionalFormatting sqref="E43">
    <cfRule type="containsBlanks" dxfId="10811" priority="4818" stopIfTrue="1">
      <formula>LEN(TRIM(E43))=0</formula>
    </cfRule>
    <cfRule type="cellIs" dxfId="10810" priority="4819" stopIfTrue="1" operator="between">
      <formula>80.1</formula>
      <formula>100</formula>
    </cfRule>
    <cfRule type="cellIs" dxfId="10809" priority="4820" stopIfTrue="1" operator="between">
      <formula>35.1</formula>
      <formula>80</formula>
    </cfRule>
    <cfRule type="cellIs" dxfId="10808" priority="4821" stopIfTrue="1" operator="between">
      <formula>14.1</formula>
      <formula>35</formula>
    </cfRule>
    <cfRule type="cellIs" dxfId="10807" priority="4822" stopIfTrue="1" operator="between">
      <formula>5.1</formula>
      <formula>14</formula>
    </cfRule>
    <cfRule type="cellIs" dxfId="10806" priority="4823" stopIfTrue="1" operator="between">
      <formula>0</formula>
      <formula>5</formula>
    </cfRule>
    <cfRule type="containsBlanks" dxfId="10805" priority="4824" stopIfTrue="1">
      <formula>LEN(TRIM(E43))=0</formula>
    </cfRule>
  </conditionalFormatting>
  <conditionalFormatting sqref="F145:P145">
    <cfRule type="containsBlanks" dxfId="10804" priority="4781" stopIfTrue="1">
      <formula>LEN(TRIM(F145))=0</formula>
    </cfRule>
    <cfRule type="cellIs" dxfId="10803" priority="4782" stopIfTrue="1" operator="between">
      <formula>80.1</formula>
      <formula>100</formula>
    </cfRule>
    <cfRule type="cellIs" dxfId="10802" priority="4783" stopIfTrue="1" operator="between">
      <formula>35.1</formula>
      <formula>80</formula>
    </cfRule>
    <cfRule type="cellIs" dxfId="10801" priority="4784" stopIfTrue="1" operator="between">
      <formula>14.1</formula>
      <formula>35</formula>
    </cfRule>
    <cfRule type="cellIs" dxfId="10800" priority="4785" stopIfTrue="1" operator="between">
      <formula>5.1</formula>
      <formula>14</formula>
    </cfRule>
    <cfRule type="cellIs" dxfId="10799" priority="4786" stopIfTrue="1" operator="between">
      <formula>0</formula>
      <formula>5</formula>
    </cfRule>
    <cfRule type="containsBlanks" dxfId="10798" priority="4787" stopIfTrue="1">
      <formula>LEN(TRIM(F145))=0</formula>
    </cfRule>
  </conditionalFormatting>
  <conditionalFormatting sqref="E145">
    <cfRule type="containsBlanks" dxfId="10797" priority="4774" stopIfTrue="1">
      <formula>LEN(TRIM(E145))=0</formula>
    </cfRule>
    <cfRule type="cellIs" dxfId="10796" priority="4775" stopIfTrue="1" operator="between">
      <formula>80.1</formula>
      <formula>100</formula>
    </cfRule>
    <cfRule type="cellIs" dxfId="10795" priority="4776" stopIfTrue="1" operator="between">
      <formula>35.1</formula>
      <formula>80</formula>
    </cfRule>
    <cfRule type="cellIs" dxfId="10794" priority="4777" stopIfTrue="1" operator="between">
      <formula>14.1</formula>
      <formula>35</formula>
    </cfRule>
    <cfRule type="cellIs" dxfId="10793" priority="4778" stopIfTrue="1" operator="between">
      <formula>5.1</formula>
      <formula>14</formula>
    </cfRule>
    <cfRule type="cellIs" dxfId="10792" priority="4779" stopIfTrue="1" operator="between">
      <formula>0</formula>
      <formula>5</formula>
    </cfRule>
    <cfRule type="containsBlanks" dxfId="10791" priority="4780" stopIfTrue="1">
      <formula>LEN(TRIM(E145))=0</formula>
    </cfRule>
  </conditionalFormatting>
  <conditionalFormatting sqref="F146:P146">
    <cfRule type="containsBlanks" dxfId="10790" priority="4715" stopIfTrue="1">
      <formula>LEN(TRIM(F146))=0</formula>
    </cfRule>
    <cfRule type="cellIs" dxfId="10789" priority="4716" stopIfTrue="1" operator="between">
      <formula>80.1</formula>
      <formula>100</formula>
    </cfRule>
    <cfRule type="cellIs" dxfId="10788" priority="4717" stopIfTrue="1" operator="between">
      <formula>35.1</formula>
      <formula>80</formula>
    </cfRule>
    <cfRule type="cellIs" dxfId="10787" priority="4718" stopIfTrue="1" operator="between">
      <formula>14.1</formula>
      <formula>35</formula>
    </cfRule>
    <cfRule type="cellIs" dxfId="10786" priority="4719" stopIfTrue="1" operator="between">
      <formula>5.1</formula>
      <formula>14</formula>
    </cfRule>
    <cfRule type="cellIs" dxfId="10785" priority="4720" stopIfTrue="1" operator="between">
      <formula>0</formula>
      <formula>5</formula>
    </cfRule>
    <cfRule type="containsBlanks" dxfId="10784" priority="4721" stopIfTrue="1">
      <formula>LEN(TRIM(F146))=0</formula>
    </cfRule>
  </conditionalFormatting>
  <conditionalFormatting sqref="E146">
    <cfRule type="containsBlanks" dxfId="10783" priority="4708" stopIfTrue="1">
      <formula>LEN(TRIM(E146))=0</formula>
    </cfRule>
    <cfRule type="cellIs" dxfId="10782" priority="4709" stopIfTrue="1" operator="between">
      <formula>80.1</formula>
      <formula>100</formula>
    </cfRule>
    <cfRule type="cellIs" dxfId="10781" priority="4710" stopIfTrue="1" operator="between">
      <formula>35.1</formula>
      <formula>80</formula>
    </cfRule>
    <cfRule type="cellIs" dxfId="10780" priority="4711" stopIfTrue="1" operator="between">
      <formula>14.1</formula>
      <formula>35</formula>
    </cfRule>
    <cfRule type="cellIs" dxfId="10779" priority="4712" stopIfTrue="1" operator="between">
      <formula>5.1</formula>
      <formula>14</formula>
    </cfRule>
    <cfRule type="cellIs" dxfId="10778" priority="4713" stopIfTrue="1" operator="between">
      <formula>0</formula>
      <formula>5</formula>
    </cfRule>
    <cfRule type="containsBlanks" dxfId="10777" priority="4714" stopIfTrue="1">
      <formula>LEN(TRIM(E146))=0</formula>
    </cfRule>
  </conditionalFormatting>
  <conditionalFormatting sqref="F148:P148">
    <cfRule type="containsBlanks" dxfId="10776" priority="4649" stopIfTrue="1">
      <formula>LEN(TRIM(F148))=0</formula>
    </cfRule>
    <cfRule type="cellIs" dxfId="10775" priority="4650" stopIfTrue="1" operator="between">
      <formula>80.1</formula>
      <formula>100</formula>
    </cfRule>
    <cfRule type="cellIs" dxfId="10774" priority="4651" stopIfTrue="1" operator="between">
      <formula>35.1</formula>
      <formula>80</formula>
    </cfRule>
    <cfRule type="cellIs" dxfId="10773" priority="4652" stopIfTrue="1" operator="between">
      <formula>14.1</formula>
      <formula>35</formula>
    </cfRule>
    <cfRule type="cellIs" dxfId="10772" priority="4653" stopIfTrue="1" operator="between">
      <formula>5.1</formula>
      <formula>14</formula>
    </cfRule>
    <cfRule type="cellIs" dxfId="10771" priority="4654" stopIfTrue="1" operator="between">
      <formula>0</formula>
      <formula>5</formula>
    </cfRule>
    <cfRule type="containsBlanks" dxfId="10770" priority="4655" stopIfTrue="1">
      <formula>LEN(TRIM(F148))=0</formula>
    </cfRule>
  </conditionalFormatting>
  <conditionalFormatting sqref="E148">
    <cfRule type="containsBlanks" dxfId="10769" priority="4642" stopIfTrue="1">
      <formula>LEN(TRIM(E148))=0</formula>
    </cfRule>
    <cfRule type="cellIs" dxfId="10768" priority="4643" stopIfTrue="1" operator="between">
      <formula>80.1</formula>
      <formula>100</formula>
    </cfRule>
    <cfRule type="cellIs" dxfId="10767" priority="4644" stopIfTrue="1" operator="between">
      <formula>35.1</formula>
      <formula>80</formula>
    </cfRule>
    <cfRule type="cellIs" dxfId="10766" priority="4645" stopIfTrue="1" operator="between">
      <formula>14.1</formula>
      <formula>35</formula>
    </cfRule>
    <cfRule type="cellIs" dxfId="10765" priority="4646" stopIfTrue="1" operator="between">
      <formula>5.1</formula>
      <formula>14</formula>
    </cfRule>
    <cfRule type="cellIs" dxfId="10764" priority="4647" stopIfTrue="1" operator="between">
      <formula>0</formula>
      <formula>5</formula>
    </cfRule>
    <cfRule type="containsBlanks" dxfId="10763" priority="4648" stopIfTrue="1">
      <formula>LEN(TRIM(E148))=0</formula>
    </cfRule>
  </conditionalFormatting>
  <conditionalFormatting sqref="P389">
    <cfRule type="containsBlanks" dxfId="10762" priority="4561" stopIfTrue="1">
      <formula>LEN(TRIM(P389))=0</formula>
    </cfRule>
    <cfRule type="cellIs" dxfId="10761" priority="4562" stopIfTrue="1" operator="between">
      <formula>80.1</formula>
      <formula>100</formula>
    </cfRule>
    <cfRule type="cellIs" dxfId="10760" priority="4563" stopIfTrue="1" operator="between">
      <formula>35.1</formula>
      <formula>80</formula>
    </cfRule>
    <cfRule type="cellIs" dxfId="10759" priority="4564" stopIfTrue="1" operator="between">
      <formula>14.1</formula>
      <formula>35</formula>
    </cfRule>
    <cfRule type="cellIs" dxfId="10758" priority="4565" stopIfTrue="1" operator="between">
      <formula>5.1</formula>
      <formula>14</formula>
    </cfRule>
    <cfRule type="cellIs" dxfId="10757" priority="4566" stopIfTrue="1" operator="between">
      <formula>0</formula>
      <formula>5</formula>
    </cfRule>
    <cfRule type="containsBlanks" dxfId="10756" priority="4567" stopIfTrue="1">
      <formula>LEN(TRIM(P389))=0</formula>
    </cfRule>
  </conditionalFormatting>
  <conditionalFormatting sqref="E394:J394">
    <cfRule type="containsBlanks" dxfId="10755" priority="4554" stopIfTrue="1">
      <formula>LEN(TRIM(E394))=0</formula>
    </cfRule>
    <cfRule type="cellIs" dxfId="10754" priority="4555" stopIfTrue="1" operator="between">
      <formula>80.1</formula>
      <formula>100</formula>
    </cfRule>
    <cfRule type="cellIs" dxfId="10753" priority="4556" stopIfTrue="1" operator="between">
      <formula>35.1</formula>
      <formula>80</formula>
    </cfRule>
    <cfRule type="cellIs" dxfId="10752" priority="4557" stopIfTrue="1" operator="between">
      <formula>14.1</formula>
      <formula>35</formula>
    </cfRule>
    <cfRule type="cellIs" dxfId="10751" priority="4558" stopIfTrue="1" operator="between">
      <formula>5.1</formula>
      <formula>14</formula>
    </cfRule>
    <cfRule type="cellIs" dxfId="10750" priority="4559" stopIfTrue="1" operator="between">
      <formula>0</formula>
      <formula>5</formula>
    </cfRule>
    <cfRule type="containsBlanks" dxfId="10749" priority="4560" stopIfTrue="1">
      <formula>LEN(TRIM(E394))=0</formula>
    </cfRule>
  </conditionalFormatting>
  <conditionalFormatting sqref="O384:P384">
    <cfRule type="containsBlanks" dxfId="10748" priority="4539" stopIfTrue="1">
      <formula>LEN(TRIM(O384))=0</formula>
    </cfRule>
    <cfRule type="cellIs" dxfId="10747" priority="4540" stopIfTrue="1" operator="between">
      <formula>80.1</formula>
      <formula>100</formula>
    </cfRule>
    <cfRule type="cellIs" dxfId="10746" priority="4541" stopIfTrue="1" operator="between">
      <formula>35.1</formula>
      <formula>80</formula>
    </cfRule>
    <cfRule type="cellIs" dxfId="10745" priority="4542" stopIfTrue="1" operator="between">
      <formula>14.1</formula>
      <formula>35</formula>
    </cfRule>
    <cfRule type="cellIs" dxfId="10744" priority="4543" stopIfTrue="1" operator="between">
      <formula>5.1</formula>
      <formula>14</formula>
    </cfRule>
    <cfRule type="cellIs" dxfId="10743" priority="4544" stopIfTrue="1" operator="between">
      <formula>0</formula>
      <formula>5</formula>
    </cfRule>
    <cfRule type="containsBlanks" dxfId="10742" priority="4545" stopIfTrue="1">
      <formula>LEN(TRIM(O384))=0</formula>
    </cfRule>
  </conditionalFormatting>
  <conditionalFormatting sqref="P383">
    <cfRule type="containsBlanks" dxfId="10741" priority="4319" stopIfTrue="1">
      <formula>LEN(TRIM(P383))=0</formula>
    </cfRule>
    <cfRule type="cellIs" dxfId="10740" priority="4320" stopIfTrue="1" operator="between">
      <formula>80.1</formula>
      <formula>100</formula>
    </cfRule>
    <cfRule type="cellIs" dxfId="10739" priority="4321" stopIfTrue="1" operator="between">
      <formula>35.1</formula>
      <formula>80</formula>
    </cfRule>
    <cfRule type="cellIs" dxfId="10738" priority="4322" stopIfTrue="1" operator="between">
      <formula>14.1</formula>
      <formula>35</formula>
    </cfRule>
    <cfRule type="cellIs" dxfId="10737" priority="4323" stopIfTrue="1" operator="between">
      <formula>5.1</formula>
      <formula>14</formula>
    </cfRule>
    <cfRule type="cellIs" dxfId="10736" priority="4324" stopIfTrue="1" operator="between">
      <formula>0</formula>
      <formula>5</formula>
    </cfRule>
    <cfRule type="containsBlanks" dxfId="10735" priority="4325" stopIfTrue="1">
      <formula>LEN(TRIM(P383))=0</formula>
    </cfRule>
  </conditionalFormatting>
  <conditionalFormatting sqref="K380:P380">
    <cfRule type="containsBlanks" dxfId="10734" priority="4231" stopIfTrue="1">
      <formula>LEN(TRIM(K380))=0</formula>
    </cfRule>
    <cfRule type="cellIs" dxfId="10733" priority="4232" stopIfTrue="1" operator="between">
      <formula>80.1</formula>
      <formula>100</formula>
    </cfRule>
    <cfRule type="cellIs" dxfId="10732" priority="4233" stopIfTrue="1" operator="between">
      <formula>35.1</formula>
      <formula>80</formula>
    </cfRule>
    <cfRule type="cellIs" dxfId="10731" priority="4234" stopIfTrue="1" operator="between">
      <formula>14.1</formula>
      <formula>35</formula>
    </cfRule>
    <cfRule type="cellIs" dxfId="10730" priority="4235" stopIfTrue="1" operator="between">
      <formula>5.1</formula>
      <formula>14</formula>
    </cfRule>
    <cfRule type="cellIs" dxfId="10729" priority="4236" stopIfTrue="1" operator="between">
      <formula>0</formula>
      <formula>5</formula>
    </cfRule>
    <cfRule type="containsBlanks" dxfId="10728" priority="4237" stopIfTrue="1">
      <formula>LEN(TRIM(K380))=0</formula>
    </cfRule>
  </conditionalFormatting>
  <conditionalFormatting sqref="P382">
    <cfRule type="containsBlanks" dxfId="10727" priority="4341" stopIfTrue="1">
      <formula>LEN(TRIM(P382))=0</formula>
    </cfRule>
    <cfRule type="cellIs" dxfId="10726" priority="4342" stopIfTrue="1" operator="between">
      <formula>80.1</formula>
      <formula>100</formula>
    </cfRule>
    <cfRule type="cellIs" dxfId="10725" priority="4343" stopIfTrue="1" operator="between">
      <formula>35.1</formula>
      <formula>80</formula>
    </cfRule>
    <cfRule type="cellIs" dxfId="10724" priority="4344" stopIfTrue="1" operator="between">
      <formula>14.1</formula>
      <formula>35</formula>
    </cfRule>
    <cfRule type="cellIs" dxfId="10723" priority="4345" stopIfTrue="1" operator="between">
      <formula>5.1</formula>
      <formula>14</formula>
    </cfRule>
    <cfRule type="cellIs" dxfId="10722" priority="4346" stopIfTrue="1" operator="between">
      <formula>0</formula>
      <formula>5</formula>
    </cfRule>
    <cfRule type="containsBlanks" dxfId="10721" priority="4347" stopIfTrue="1">
      <formula>LEN(TRIM(P382))=0</formula>
    </cfRule>
  </conditionalFormatting>
  <conditionalFormatting sqref="K386:P388">
    <cfRule type="containsBlanks" dxfId="10720" priority="4209" stopIfTrue="1">
      <formula>LEN(TRIM(K386))=0</formula>
    </cfRule>
    <cfRule type="cellIs" dxfId="10719" priority="4210" stopIfTrue="1" operator="between">
      <formula>80.1</formula>
      <formula>100</formula>
    </cfRule>
    <cfRule type="cellIs" dxfId="10718" priority="4211" stopIfTrue="1" operator="between">
      <formula>35.1</formula>
      <formula>80</formula>
    </cfRule>
    <cfRule type="cellIs" dxfId="10717" priority="4212" stopIfTrue="1" operator="between">
      <formula>14.1</formula>
      <formula>35</formula>
    </cfRule>
    <cfRule type="cellIs" dxfId="10716" priority="4213" stopIfTrue="1" operator="between">
      <formula>5.1</formula>
      <formula>14</formula>
    </cfRule>
    <cfRule type="cellIs" dxfId="10715" priority="4214" stopIfTrue="1" operator="between">
      <formula>0</formula>
      <formula>5</formula>
    </cfRule>
    <cfRule type="containsBlanks" dxfId="10714" priority="4215" stopIfTrue="1">
      <formula>LEN(TRIM(K386))=0</formula>
    </cfRule>
  </conditionalFormatting>
  <conditionalFormatting sqref="K378:P379 P377">
    <cfRule type="containsBlanks" dxfId="10713" priority="4253" stopIfTrue="1">
      <formula>LEN(TRIM(K377))=0</formula>
    </cfRule>
    <cfRule type="cellIs" dxfId="10712" priority="4254" stopIfTrue="1" operator="between">
      <formula>80.1</formula>
      <formula>100</formula>
    </cfRule>
    <cfRule type="cellIs" dxfId="10711" priority="4255" stopIfTrue="1" operator="between">
      <formula>35.1</formula>
      <formula>80</formula>
    </cfRule>
    <cfRule type="cellIs" dxfId="10710" priority="4256" stopIfTrue="1" operator="between">
      <formula>14.1</formula>
      <formula>35</formula>
    </cfRule>
    <cfRule type="cellIs" dxfId="10709" priority="4257" stopIfTrue="1" operator="between">
      <formula>5.1</formula>
      <formula>14</formula>
    </cfRule>
    <cfRule type="cellIs" dxfId="10708" priority="4258" stopIfTrue="1" operator="between">
      <formula>0</formula>
      <formula>5</formula>
    </cfRule>
    <cfRule type="containsBlanks" dxfId="10707" priority="4259" stopIfTrue="1">
      <formula>LEN(TRIM(K377))=0</formula>
    </cfRule>
  </conditionalFormatting>
  <conditionalFormatting sqref="E56:P59">
    <cfRule type="containsBlanks" dxfId="10706" priority="4160" stopIfTrue="1">
      <formula>LEN(TRIM(E56))=0</formula>
    </cfRule>
    <cfRule type="cellIs" dxfId="10705" priority="4161" stopIfTrue="1" operator="between">
      <formula>79.1</formula>
      <formula>100</formula>
    </cfRule>
    <cfRule type="cellIs" dxfId="10704" priority="4162" stopIfTrue="1" operator="between">
      <formula>34.1</formula>
      <formula>79</formula>
    </cfRule>
    <cfRule type="cellIs" dxfId="10703" priority="4163" stopIfTrue="1" operator="between">
      <formula>13.1</formula>
      <formula>34</formula>
    </cfRule>
    <cfRule type="cellIs" dxfId="10702" priority="4164" stopIfTrue="1" operator="between">
      <formula>5.1</formula>
      <formula>13</formula>
    </cfRule>
    <cfRule type="cellIs" dxfId="10701" priority="4165" stopIfTrue="1" operator="between">
      <formula>0</formula>
      <formula>5</formula>
    </cfRule>
    <cfRule type="containsBlanks" dxfId="10700" priority="4166" stopIfTrue="1">
      <formula>LEN(TRIM(E56))=0</formula>
    </cfRule>
  </conditionalFormatting>
  <conditionalFormatting sqref="G44">
    <cfRule type="containsBlanks" dxfId="10699" priority="4125" stopIfTrue="1">
      <formula>LEN(TRIM(G44))=0</formula>
    </cfRule>
    <cfRule type="cellIs" dxfId="10698" priority="4126" stopIfTrue="1" operator="between">
      <formula>79.1</formula>
      <formula>100</formula>
    </cfRule>
    <cfRule type="cellIs" dxfId="10697" priority="4127" stopIfTrue="1" operator="between">
      <formula>34.1</formula>
      <formula>79</formula>
    </cfRule>
    <cfRule type="cellIs" dxfId="10696" priority="4128" stopIfTrue="1" operator="between">
      <formula>13.1</formula>
      <formula>34</formula>
    </cfRule>
    <cfRule type="cellIs" dxfId="10695" priority="4129" stopIfTrue="1" operator="between">
      <formula>5.1</formula>
      <formula>13</formula>
    </cfRule>
    <cfRule type="cellIs" dxfId="10694" priority="4130" stopIfTrue="1" operator="between">
      <formula>0</formula>
      <formula>5</formula>
    </cfRule>
    <cfRule type="containsBlanks" dxfId="10693" priority="4131" stopIfTrue="1">
      <formula>LEN(TRIM(G44))=0</formula>
    </cfRule>
  </conditionalFormatting>
  <conditionalFormatting sqref="E61:P61">
    <cfRule type="containsBlanks" dxfId="10692" priority="4153" stopIfTrue="1">
      <formula>LEN(TRIM(E61))=0</formula>
    </cfRule>
    <cfRule type="cellIs" dxfId="10691" priority="4154" stopIfTrue="1" operator="between">
      <formula>79.1</formula>
      <formula>100</formula>
    </cfRule>
    <cfRule type="cellIs" dxfId="10690" priority="4155" stopIfTrue="1" operator="between">
      <formula>34.1</formula>
      <formula>79</formula>
    </cfRule>
    <cfRule type="cellIs" dxfId="10689" priority="4156" stopIfTrue="1" operator="between">
      <formula>13.1</formula>
      <formula>34</formula>
    </cfRule>
    <cfRule type="cellIs" dxfId="10688" priority="4157" stopIfTrue="1" operator="between">
      <formula>5.1</formula>
      <formula>13</formula>
    </cfRule>
    <cfRule type="cellIs" dxfId="10687" priority="4158" stopIfTrue="1" operator="between">
      <formula>0</formula>
      <formula>5</formula>
    </cfRule>
    <cfRule type="containsBlanks" dxfId="10686" priority="4159" stopIfTrue="1">
      <formula>LEN(TRIM(E61))=0</formula>
    </cfRule>
  </conditionalFormatting>
  <conditionalFormatting sqref="E47:P47">
    <cfRule type="containsBlanks" dxfId="10685" priority="4139" stopIfTrue="1">
      <formula>LEN(TRIM(E47))=0</formula>
    </cfRule>
    <cfRule type="cellIs" dxfId="10684" priority="4140" stopIfTrue="1" operator="between">
      <formula>79.1</formula>
      <formula>100</formula>
    </cfRule>
    <cfRule type="cellIs" dxfId="10683" priority="4141" stopIfTrue="1" operator="between">
      <formula>34.1</formula>
      <formula>79</formula>
    </cfRule>
    <cfRule type="cellIs" dxfId="10682" priority="4142" stopIfTrue="1" operator="between">
      <formula>13.1</formula>
      <formula>34</formula>
    </cfRule>
    <cfRule type="cellIs" dxfId="10681" priority="4143" stopIfTrue="1" operator="between">
      <formula>5.1</formula>
      <formula>13</formula>
    </cfRule>
    <cfRule type="cellIs" dxfId="10680" priority="4144" stopIfTrue="1" operator="between">
      <formula>0</formula>
      <formula>5</formula>
    </cfRule>
    <cfRule type="containsBlanks" dxfId="10679" priority="4145" stopIfTrue="1">
      <formula>LEN(TRIM(E47))=0</formula>
    </cfRule>
  </conditionalFormatting>
  <conditionalFormatting sqref="E48:P48">
    <cfRule type="containsBlanks" dxfId="10678" priority="4132" stopIfTrue="1">
      <formula>LEN(TRIM(E48))=0</formula>
    </cfRule>
    <cfRule type="cellIs" dxfId="10677" priority="4133" stopIfTrue="1" operator="between">
      <formula>79.1</formula>
      <formula>100</formula>
    </cfRule>
    <cfRule type="cellIs" dxfId="10676" priority="4134" stopIfTrue="1" operator="between">
      <formula>34.1</formula>
      <formula>79</formula>
    </cfRule>
    <cfRule type="cellIs" dxfId="10675" priority="4135" stopIfTrue="1" operator="between">
      <formula>13.1</formula>
      <formula>34</formula>
    </cfRule>
    <cfRule type="cellIs" dxfId="10674" priority="4136" stopIfTrue="1" operator="between">
      <formula>5.1</formula>
      <formula>13</formula>
    </cfRule>
    <cfRule type="cellIs" dxfId="10673" priority="4137" stopIfTrue="1" operator="between">
      <formula>0</formula>
      <formula>5</formula>
    </cfRule>
    <cfRule type="containsBlanks" dxfId="10672" priority="4138" stopIfTrue="1">
      <formula>LEN(TRIM(E48))=0</formula>
    </cfRule>
  </conditionalFormatting>
  <conditionalFormatting sqref="E284:P284">
    <cfRule type="containsBlanks" dxfId="10671" priority="4076" stopIfTrue="1">
      <formula>LEN(TRIM(E284))=0</formula>
    </cfRule>
    <cfRule type="cellIs" dxfId="10670" priority="4077" stopIfTrue="1" operator="between">
      <formula>79.1</formula>
      <formula>100</formula>
    </cfRule>
    <cfRule type="cellIs" dxfId="10669" priority="4078" stopIfTrue="1" operator="between">
      <formula>34.1</formula>
      <formula>79</formula>
    </cfRule>
    <cfRule type="cellIs" dxfId="10668" priority="4079" stopIfTrue="1" operator="between">
      <formula>13.1</formula>
      <formula>34</formula>
    </cfRule>
    <cfRule type="cellIs" dxfId="10667" priority="4080" stopIfTrue="1" operator="between">
      <formula>5.1</formula>
      <formula>13</formula>
    </cfRule>
    <cfRule type="cellIs" dxfId="10666" priority="4081" stopIfTrue="1" operator="between">
      <formula>0</formula>
      <formula>5</formula>
    </cfRule>
    <cfRule type="containsBlanks" dxfId="10665" priority="4082" stopIfTrue="1">
      <formula>LEN(TRIM(E284))=0</formula>
    </cfRule>
  </conditionalFormatting>
  <conditionalFormatting sqref="E379:J380 E378:F378 H378:J378">
    <cfRule type="containsBlanks" dxfId="10664" priority="4013" stopIfTrue="1">
      <formula>LEN(TRIM(E378))=0</formula>
    </cfRule>
    <cfRule type="cellIs" dxfId="10663" priority="4014" stopIfTrue="1" operator="between">
      <formula>80.1</formula>
      <formula>100</formula>
    </cfRule>
    <cfRule type="cellIs" dxfId="10662" priority="4015" stopIfTrue="1" operator="between">
      <formula>35.1</formula>
      <formula>80</formula>
    </cfRule>
    <cfRule type="cellIs" dxfId="10661" priority="4016" stopIfTrue="1" operator="between">
      <formula>14.1</formula>
      <formula>35</formula>
    </cfRule>
    <cfRule type="cellIs" dxfId="10660" priority="4017" stopIfTrue="1" operator="between">
      <formula>5.1</formula>
      <formula>14</formula>
    </cfRule>
    <cfRule type="cellIs" dxfId="10659" priority="4018" stopIfTrue="1" operator="between">
      <formula>0</formula>
      <formula>5</formula>
    </cfRule>
    <cfRule type="containsBlanks" dxfId="10658" priority="4019" stopIfTrue="1">
      <formula>LEN(TRIM(E378))=0</formula>
    </cfRule>
  </conditionalFormatting>
  <conditionalFormatting sqref="K22:P25 K33:P35 K27:P29 K31:P31">
    <cfRule type="containsBlanks" dxfId="10657" priority="4006" stopIfTrue="1">
      <formula>LEN(TRIM(K22))=0</formula>
    </cfRule>
    <cfRule type="cellIs" dxfId="10656" priority="4007" stopIfTrue="1" operator="between">
      <formula>79.1</formula>
      <formula>100</formula>
    </cfRule>
    <cfRule type="cellIs" dxfId="10655" priority="4008" stopIfTrue="1" operator="between">
      <formula>34.1</formula>
      <formula>79</formula>
    </cfRule>
    <cfRule type="cellIs" dxfId="10654" priority="4009" stopIfTrue="1" operator="between">
      <formula>13.1</formula>
      <formula>34</formula>
    </cfRule>
    <cfRule type="cellIs" dxfId="10653" priority="4010" stopIfTrue="1" operator="between">
      <formula>5.1</formula>
      <formula>13</formula>
    </cfRule>
    <cfRule type="cellIs" dxfId="10652" priority="4011" stopIfTrue="1" operator="between">
      <formula>0</formula>
      <formula>5</formula>
    </cfRule>
    <cfRule type="containsBlanks" dxfId="10651" priority="4012" stopIfTrue="1">
      <formula>LEN(TRIM(K22))=0</formula>
    </cfRule>
  </conditionalFormatting>
  <conditionalFormatting sqref="Q320">
    <cfRule type="containsBlanks" dxfId="10650" priority="3814" stopIfTrue="1">
      <formula>LEN(TRIM(Q320))=0</formula>
    </cfRule>
    <cfRule type="cellIs" dxfId="10649" priority="3815" stopIfTrue="1" operator="between">
      <formula>80.1</formula>
      <formula>100</formula>
    </cfRule>
    <cfRule type="cellIs" dxfId="10648" priority="3816" stopIfTrue="1" operator="between">
      <formula>35.1</formula>
      <formula>80</formula>
    </cfRule>
    <cfRule type="cellIs" dxfId="10647" priority="3817" stopIfTrue="1" operator="between">
      <formula>14.1</formula>
      <formula>35</formula>
    </cfRule>
    <cfRule type="cellIs" dxfId="10646" priority="3818" stopIfTrue="1" operator="between">
      <formula>5.1</formula>
      <formula>14</formula>
    </cfRule>
    <cfRule type="cellIs" dxfId="10645" priority="3819" stopIfTrue="1" operator="between">
      <formula>0</formula>
      <formula>5</formula>
    </cfRule>
    <cfRule type="containsBlanks" dxfId="10644" priority="3820" stopIfTrue="1">
      <formula>LEN(TRIM(Q320))=0</formula>
    </cfRule>
  </conditionalFormatting>
  <conditionalFormatting sqref="F339:Q339 F335:P338 F340:P340 F332:Q332 F330:P330 F326:Q326 Q319 J333:Q334 Q321:Q325 F328:Q328 Q329 Q331 F342:P344 F346:P346">
    <cfRule type="containsBlanks" dxfId="10643" priority="3913" stopIfTrue="1">
      <formula>LEN(TRIM(F319))=0</formula>
    </cfRule>
    <cfRule type="cellIs" dxfId="10642" priority="3914" stopIfTrue="1" operator="between">
      <formula>80.1</formula>
      <formula>100</formula>
    </cfRule>
    <cfRule type="cellIs" dxfId="10641" priority="3915" stopIfTrue="1" operator="between">
      <formula>35.1</formula>
      <formula>80</formula>
    </cfRule>
    <cfRule type="cellIs" dxfId="10640" priority="3916" stopIfTrue="1" operator="between">
      <formula>14.1</formula>
      <formula>35</formula>
    </cfRule>
    <cfRule type="cellIs" dxfId="10639" priority="3917" stopIfTrue="1" operator="between">
      <formula>5.1</formula>
      <formula>14</formula>
    </cfRule>
    <cfRule type="cellIs" dxfId="10638" priority="3918" stopIfTrue="1" operator="between">
      <formula>0</formula>
      <formula>5</formula>
    </cfRule>
    <cfRule type="containsBlanks" dxfId="10637" priority="3919" stopIfTrue="1">
      <formula>LEN(TRIM(F319))=0</formula>
    </cfRule>
  </conditionalFormatting>
  <conditionalFormatting sqref="Q335">
    <cfRule type="containsBlanks" dxfId="10636" priority="3906" stopIfTrue="1">
      <formula>LEN(TRIM(Q335))=0</formula>
    </cfRule>
    <cfRule type="cellIs" dxfId="10635" priority="3907" stopIfTrue="1" operator="between">
      <formula>80.1</formula>
      <formula>100</formula>
    </cfRule>
    <cfRule type="cellIs" dxfId="10634" priority="3908" stopIfTrue="1" operator="between">
      <formula>35.1</formula>
      <formula>80</formula>
    </cfRule>
    <cfRule type="cellIs" dxfId="10633" priority="3909" stopIfTrue="1" operator="between">
      <formula>14.1</formula>
      <formula>35</formula>
    </cfRule>
    <cfRule type="cellIs" dxfId="10632" priority="3910" stopIfTrue="1" operator="between">
      <formula>5.1</formula>
      <formula>14</formula>
    </cfRule>
    <cfRule type="cellIs" dxfId="10631" priority="3911" stopIfTrue="1" operator="between">
      <formula>0</formula>
      <formula>5</formula>
    </cfRule>
    <cfRule type="containsBlanks" dxfId="10630" priority="3912" stopIfTrue="1">
      <formula>LEN(TRIM(Q335))=0</formula>
    </cfRule>
  </conditionalFormatting>
  <conditionalFormatting sqref="Q336">
    <cfRule type="containsBlanks" dxfId="10629" priority="3899" stopIfTrue="1">
      <formula>LEN(TRIM(Q336))=0</formula>
    </cfRule>
    <cfRule type="cellIs" dxfId="10628" priority="3900" stopIfTrue="1" operator="between">
      <formula>80.1</formula>
      <formula>100</formula>
    </cfRule>
    <cfRule type="cellIs" dxfId="10627" priority="3901" stopIfTrue="1" operator="between">
      <formula>35.1</formula>
      <formula>80</formula>
    </cfRule>
    <cfRule type="cellIs" dxfId="10626" priority="3902" stopIfTrue="1" operator="between">
      <formula>14.1</formula>
      <formula>35</formula>
    </cfRule>
    <cfRule type="cellIs" dxfId="10625" priority="3903" stopIfTrue="1" operator="between">
      <formula>5.1</formula>
      <formula>14</formula>
    </cfRule>
    <cfRule type="cellIs" dxfId="10624" priority="3904" stopIfTrue="1" operator="between">
      <formula>0</formula>
      <formula>5</formula>
    </cfRule>
    <cfRule type="containsBlanks" dxfId="10623" priority="3905" stopIfTrue="1">
      <formula>LEN(TRIM(Q336))=0</formula>
    </cfRule>
  </conditionalFormatting>
  <conditionalFormatting sqref="Q337">
    <cfRule type="containsBlanks" dxfId="10622" priority="3892" stopIfTrue="1">
      <formula>LEN(TRIM(Q337))=0</formula>
    </cfRule>
    <cfRule type="cellIs" dxfId="10621" priority="3893" stopIfTrue="1" operator="between">
      <formula>80.1</formula>
      <formula>100</formula>
    </cfRule>
    <cfRule type="cellIs" dxfId="10620" priority="3894" stopIfTrue="1" operator="between">
      <formula>35.1</formula>
      <formula>80</formula>
    </cfRule>
    <cfRule type="cellIs" dxfId="10619" priority="3895" stopIfTrue="1" operator="between">
      <formula>14.1</formula>
      <formula>35</formula>
    </cfRule>
    <cfRule type="cellIs" dxfId="10618" priority="3896" stopIfTrue="1" operator="between">
      <formula>5.1</formula>
      <formula>14</formula>
    </cfRule>
    <cfRule type="cellIs" dxfId="10617" priority="3897" stopIfTrue="1" operator="between">
      <formula>0</formula>
      <formula>5</formula>
    </cfRule>
    <cfRule type="containsBlanks" dxfId="10616" priority="3898" stopIfTrue="1">
      <formula>LEN(TRIM(Q337))=0</formula>
    </cfRule>
  </conditionalFormatting>
  <conditionalFormatting sqref="Q338">
    <cfRule type="containsBlanks" dxfId="10615" priority="3885" stopIfTrue="1">
      <formula>LEN(TRIM(Q338))=0</formula>
    </cfRule>
    <cfRule type="cellIs" dxfId="10614" priority="3886" stopIfTrue="1" operator="between">
      <formula>80.1</formula>
      <formula>100</formula>
    </cfRule>
    <cfRule type="cellIs" dxfId="10613" priority="3887" stopIfTrue="1" operator="between">
      <formula>35.1</formula>
      <formula>80</formula>
    </cfRule>
    <cfRule type="cellIs" dxfId="10612" priority="3888" stopIfTrue="1" operator="between">
      <formula>14.1</formula>
      <formula>35</formula>
    </cfRule>
    <cfRule type="cellIs" dxfId="10611" priority="3889" stopIfTrue="1" operator="between">
      <formula>5.1</formula>
      <formula>14</formula>
    </cfRule>
    <cfRule type="cellIs" dxfId="10610" priority="3890" stopIfTrue="1" operator="between">
      <formula>0</formula>
      <formula>5</formula>
    </cfRule>
    <cfRule type="containsBlanks" dxfId="10609" priority="3891" stopIfTrue="1">
      <formula>LEN(TRIM(Q338))=0</formula>
    </cfRule>
  </conditionalFormatting>
  <conditionalFormatting sqref="Q340">
    <cfRule type="containsBlanks" dxfId="10608" priority="3878" stopIfTrue="1">
      <formula>LEN(TRIM(Q340))=0</formula>
    </cfRule>
    <cfRule type="cellIs" dxfId="10607" priority="3879" stopIfTrue="1" operator="between">
      <formula>80.1</formula>
      <formula>100</formula>
    </cfRule>
    <cfRule type="cellIs" dxfId="10606" priority="3880" stopIfTrue="1" operator="between">
      <formula>35.1</formula>
      <formula>80</formula>
    </cfRule>
    <cfRule type="cellIs" dxfId="10605" priority="3881" stopIfTrue="1" operator="between">
      <formula>14.1</formula>
      <formula>35</formula>
    </cfRule>
    <cfRule type="cellIs" dxfId="10604" priority="3882" stopIfTrue="1" operator="between">
      <formula>5.1</formula>
      <formula>14</formula>
    </cfRule>
    <cfRule type="cellIs" dxfId="10603" priority="3883" stopIfTrue="1" operator="between">
      <formula>0</formula>
      <formula>5</formula>
    </cfRule>
    <cfRule type="containsBlanks" dxfId="10602" priority="3884" stopIfTrue="1">
      <formula>LEN(TRIM(Q340))=0</formula>
    </cfRule>
  </conditionalFormatting>
  <conditionalFormatting sqref="Q341">
    <cfRule type="containsBlanks" dxfId="10601" priority="3871" stopIfTrue="1">
      <formula>LEN(TRIM(Q341))=0</formula>
    </cfRule>
    <cfRule type="cellIs" dxfId="10600" priority="3872" stopIfTrue="1" operator="between">
      <formula>80.1</formula>
      <formula>100</formula>
    </cfRule>
    <cfRule type="cellIs" dxfId="10599" priority="3873" stopIfTrue="1" operator="between">
      <formula>35.1</formula>
      <formula>80</formula>
    </cfRule>
    <cfRule type="cellIs" dxfId="10598" priority="3874" stopIfTrue="1" operator="between">
      <formula>14.1</formula>
      <formula>35</formula>
    </cfRule>
    <cfRule type="cellIs" dxfId="10597" priority="3875" stopIfTrue="1" operator="between">
      <formula>5.1</formula>
      <formula>14</formula>
    </cfRule>
    <cfRule type="cellIs" dxfId="10596" priority="3876" stopIfTrue="1" operator="between">
      <formula>0</formula>
      <formula>5</formula>
    </cfRule>
    <cfRule type="containsBlanks" dxfId="10595" priority="3877" stopIfTrue="1">
      <formula>LEN(TRIM(Q341))=0</formula>
    </cfRule>
  </conditionalFormatting>
  <conditionalFormatting sqref="Q342">
    <cfRule type="containsBlanks" dxfId="10594" priority="3864" stopIfTrue="1">
      <formula>LEN(TRIM(Q342))=0</formula>
    </cfRule>
    <cfRule type="cellIs" dxfId="10593" priority="3865" stopIfTrue="1" operator="between">
      <formula>80.1</formula>
      <formula>100</formula>
    </cfRule>
    <cfRule type="cellIs" dxfId="10592" priority="3866" stopIfTrue="1" operator="between">
      <formula>35.1</formula>
      <formula>80</formula>
    </cfRule>
    <cfRule type="cellIs" dxfId="10591" priority="3867" stopIfTrue="1" operator="between">
      <formula>14.1</formula>
      <formula>35</formula>
    </cfRule>
    <cfRule type="cellIs" dxfId="10590" priority="3868" stopIfTrue="1" operator="between">
      <formula>5.1</formula>
      <formula>14</formula>
    </cfRule>
    <cfRule type="cellIs" dxfId="10589" priority="3869" stopIfTrue="1" operator="between">
      <formula>0</formula>
      <formula>5</formula>
    </cfRule>
    <cfRule type="containsBlanks" dxfId="10588" priority="3870" stopIfTrue="1">
      <formula>LEN(TRIM(Q342))=0</formula>
    </cfRule>
  </conditionalFormatting>
  <conditionalFormatting sqref="Q343">
    <cfRule type="containsBlanks" dxfId="10587" priority="3857" stopIfTrue="1">
      <formula>LEN(TRIM(Q343))=0</formula>
    </cfRule>
    <cfRule type="cellIs" dxfId="10586" priority="3858" stopIfTrue="1" operator="between">
      <formula>80.1</formula>
      <formula>100</formula>
    </cfRule>
    <cfRule type="cellIs" dxfId="10585" priority="3859" stopIfTrue="1" operator="between">
      <formula>35.1</formula>
      <formula>80</formula>
    </cfRule>
    <cfRule type="cellIs" dxfId="10584" priority="3860" stopIfTrue="1" operator="between">
      <formula>14.1</formula>
      <formula>35</formula>
    </cfRule>
    <cfRule type="cellIs" dxfId="10583" priority="3861" stopIfTrue="1" operator="between">
      <formula>5.1</formula>
      <formula>14</formula>
    </cfRule>
    <cfRule type="cellIs" dxfId="10582" priority="3862" stopIfTrue="1" operator="between">
      <formula>0</formula>
      <formula>5</formula>
    </cfRule>
    <cfRule type="containsBlanks" dxfId="10581" priority="3863" stopIfTrue="1">
      <formula>LEN(TRIM(Q343))=0</formula>
    </cfRule>
  </conditionalFormatting>
  <conditionalFormatting sqref="Q344">
    <cfRule type="containsBlanks" dxfId="10580" priority="3850" stopIfTrue="1">
      <formula>LEN(TRIM(Q344))=0</formula>
    </cfRule>
    <cfRule type="cellIs" dxfId="10579" priority="3851" stopIfTrue="1" operator="between">
      <formula>80.1</formula>
      <formula>100</formula>
    </cfRule>
    <cfRule type="cellIs" dxfId="10578" priority="3852" stopIfTrue="1" operator="between">
      <formula>35.1</formula>
      <formula>80</formula>
    </cfRule>
    <cfRule type="cellIs" dxfId="10577" priority="3853" stopIfTrue="1" operator="between">
      <formula>14.1</formula>
      <formula>35</formula>
    </cfRule>
    <cfRule type="cellIs" dxfId="10576" priority="3854" stopIfTrue="1" operator="between">
      <formula>5.1</formula>
      <formula>14</formula>
    </cfRule>
    <cfRule type="cellIs" dxfId="10575" priority="3855" stopIfTrue="1" operator="between">
      <formula>0</formula>
      <formula>5</formula>
    </cfRule>
    <cfRule type="containsBlanks" dxfId="10574" priority="3856" stopIfTrue="1">
      <formula>LEN(TRIM(Q344))=0</formula>
    </cfRule>
  </conditionalFormatting>
  <conditionalFormatting sqref="Q330">
    <cfRule type="containsBlanks" dxfId="10573" priority="3829" stopIfTrue="1">
      <formula>LEN(TRIM(Q330))=0</formula>
    </cfRule>
    <cfRule type="cellIs" dxfId="10572" priority="3830" stopIfTrue="1" operator="between">
      <formula>80.1</formula>
      <formula>100</formula>
    </cfRule>
    <cfRule type="cellIs" dxfId="10571" priority="3831" stopIfTrue="1" operator="between">
      <formula>35.1</formula>
      <formula>80</formula>
    </cfRule>
    <cfRule type="cellIs" dxfId="10570" priority="3832" stopIfTrue="1" operator="between">
      <formula>14.1</formula>
      <formula>35</formula>
    </cfRule>
    <cfRule type="cellIs" dxfId="10569" priority="3833" stopIfTrue="1" operator="between">
      <formula>5.1</formula>
      <formula>14</formula>
    </cfRule>
    <cfRule type="cellIs" dxfId="10568" priority="3834" stopIfTrue="1" operator="between">
      <formula>0</formula>
      <formula>5</formula>
    </cfRule>
    <cfRule type="containsBlanks" dxfId="10567" priority="3835" stopIfTrue="1">
      <formula>LEN(TRIM(Q330))=0</formula>
    </cfRule>
  </conditionalFormatting>
  <conditionalFormatting sqref="Q346">
    <cfRule type="containsBlanks" dxfId="10566" priority="3821" stopIfTrue="1">
      <formula>LEN(TRIM(Q346))=0</formula>
    </cfRule>
    <cfRule type="cellIs" dxfId="10565" priority="3822" stopIfTrue="1" operator="between">
      <formula>80.1</formula>
      <formula>100</formula>
    </cfRule>
    <cfRule type="cellIs" dxfId="10564" priority="3823" stopIfTrue="1" operator="between">
      <formula>35.1</formula>
      <formula>80</formula>
    </cfRule>
    <cfRule type="cellIs" dxfId="10563" priority="3824" stopIfTrue="1" operator="between">
      <formula>14.1</formula>
      <formula>35</formula>
    </cfRule>
    <cfRule type="cellIs" dxfId="10562" priority="3825" stopIfTrue="1" operator="between">
      <formula>5.1</formula>
      <formula>14</formula>
    </cfRule>
    <cfRule type="cellIs" dxfId="10561" priority="3826" stopIfTrue="1" operator="between">
      <formula>0</formula>
      <formula>5</formula>
    </cfRule>
    <cfRule type="containsBlanks" dxfId="10560" priority="3827" stopIfTrue="1">
      <formula>LEN(TRIM(Q346))=0</formula>
    </cfRule>
  </conditionalFormatting>
  <conditionalFormatting sqref="Q345">
    <cfRule type="containsBlanks" dxfId="10559" priority="3807" stopIfTrue="1">
      <formula>LEN(TRIM(Q345))=0</formula>
    </cfRule>
    <cfRule type="cellIs" dxfId="10558" priority="3808" stopIfTrue="1" operator="between">
      <formula>80.1</formula>
      <formula>100</formula>
    </cfRule>
    <cfRule type="cellIs" dxfId="10557" priority="3809" stopIfTrue="1" operator="between">
      <formula>35.1</formula>
      <formula>80</formula>
    </cfRule>
    <cfRule type="cellIs" dxfId="10556" priority="3810" stopIfTrue="1" operator="between">
      <formula>14.1</formula>
      <formula>35</formula>
    </cfRule>
    <cfRule type="cellIs" dxfId="10555" priority="3811" stopIfTrue="1" operator="between">
      <formula>5.1</formula>
      <formula>14</formula>
    </cfRule>
    <cfRule type="cellIs" dxfId="10554" priority="3812" stopIfTrue="1" operator="between">
      <formula>0</formula>
      <formula>5</formula>
    </cfRule>
    <cfRule type="containsBlanks" dxfId="10553" priority="3813" stopIfTrue="1">
      <formula>LEN(TRIM(Q345))=0</formula>
    </cfRule>
  </conditionalFormatting>
  <conditionalFormatting sqref="E390:P390">
    <cfRule type="containsBlanks" dxfId="10552" priority="3800" stopIfTrue="1">
      <formula>LEN(TRIM(E390))=0</formula>
    </cfRule>
    <cfRule type="cellIs" dxfId="10551" priority="3801" stopIfTrue="1" operator="between">
      <formula>79.1</formula>
      <formula>100</formula>
    </cfRule>
    <cfRule type="cellIs" dxfId="10550" priority="3802" stopIfTrue="1" operator="between">
      <formula>34.1</formula>
      <formula>79</formula>
    </cfRule>
    <cfRule type="cellIs" dxfId="10549" priority="3803" stopIfTrue="1" operator="between">
      <formula>13.1</formula>
      <formula>34</formula>
    </cfRule>
    <cfRule type="cellIs" dxfId="10548" priority="3804" stopIfTrue="1" operator="between">
      <formula>5.1</formula>
      <formula>13</formula>
    </cfRule>
    <cfRule type="cellIs" dxfId="10547" priority="3805" stopIfTrue="1" operator="between">
      <formula>0</formula>
      <formula>5</formula>
    </cfRule>
    <cfRule type="containsBlanks" dxfId="10546" priority="3806" stopIfTrue="1">
      <formula>LEN(TRIM(E390))=0</formula>
    </cfRule>
  </conditionalFormatting>
  <conditionalFormatting sqref="E391:P391">
    <cfRule type="containsBlanks" dxfId="10545" priority="3779" stopIfTrue="1">
      <formula>LEN(TRIM(E391))=0</formula>
    </cfRule>
    <cfRule type="cellIs" dxfId="10544" priority="3780" stopIfTrue="1" operator="between">
      <formula>79.1</formula>
      <formula>100</formula>
    </cfRule>
    <cfRule type="cellIs" dxfId="10543" priority="3781" stopIfTrue="1" operator="between">
      <formula>34.1</formula>
      <formula>79</formula>
    </cfRule>
    <cfRule type="cellIs" dxfId="10542" priority="3782" stopIfTrue="1" operator="between">
      <formula>13.1</formula>
      <formula>34</formula>
    </cfRule>
    <cfRule type="cellIs" dxfId="10541" priority="3783" stopIfTrue="1" operator="between">
      <formula>5.1</formula>
      <formula>13</formula>
    </cfRule>
    <cfRule type="cellIs" dxfId="10540" priority="3784" stopIfTrue="1" operator="between">
      <formula>0</formula>
      <formula>5</formula>
    </cfRule>
    <cfRule type="containsBlanks" dxfId="10539" priority="3785" stopIfTrue="1">
      <formula>LEN(TRIM(E391))=0</formula>
    </cfRule>
  </conditionalFormatting>
  <conditionalFormatting sqref="E385:P385">
    <cfRule type="containsBlanks" dxfId="10538" priority="3772" stopIfTrue="1">
      <formula>LEN(TRIM(E385))=0</formula>
    </cfRule>
    <cfRule type="cellIs" dxfId="10537" priority="3773" stopIfTrue="1" operator="between">
      <formula>79.1</formula>
      <formula>100</formula>
    </cfRule>
    <cfRule type="cellIs" dxfId="10536" priority="3774" stopIfTrue="1" operator="between">
      <formula>34.1</formula>
      <formula>79</formula>
    </cfRule>
    <cfRule type="cellIs" dxfId="10535" priority="3775" stopIfTrue="1" operator="between">
      <formula>13.1</formula>
      <formula>34</formula>
    </cfRule>
    <cfRule type="cellIs" dxfId="10534" priority="3776" stopIfTrue="1" operator="between">
      <formula>5.1</formula>
      <formula>13</formula>
    </cfRule>
    <cfRule type="cellIs" dxfId="10533" priority="3777" stopIfTrue="1" operator="between">
      <formula>0</formula>
      <formula>5</formula>
    </cfRule>
    <cfRule type="containsBlanks" dxfId="10532" priority="3778" stopIfTrue="1">
      <formula>LEN(TRIM(E385))=0</formula>
    </cfRule>
  </conditionalFormatting>
  <conditionalFormatting sqref="E393:P393">
    <cfRule type="containsBlanks" dxfId="10531" priority="3751" stopIfTrue="1">
      <formula>LEN(TRIM(E393))=0</formula>
    </cfRule>
    <cfRule type="cellIs" dxfId="10530" priority="3752" stopIfTrue="1" operator="between">
      <formula>79.1</formula>
      <formula>100</formula>
    </cfRule>
    <cfRule type="cellIs" dxfId="10529" priority="3753" stopIfTrue="1" operator="between">
      <formula>34.1</formula>
      <formula>79</formula>
    </cfRule>
    <cfRule type="cellIs" dxfId="10528" priority="3754" stopIfTrue="1" operator="between">
      <formula>13.1</formula>
      <formula>34</formula>
    </cfRule>
    <cfRule type="cellIs" dxfId="10527" priority="3755" stopIfTrue="1" operator="between">
      <formula>5.1</formula>
      <formula>13</formula>
    </cfRule>
    <cfRule type="cellIs" dxfId="10526" priority="3756" stopIfTrue="1" operator="between">
      <formula>0</formula>
      <formula>5</formula>
    </cfRule>
    <cfRule type="containsBlanks" dxfId="10525" priority="3757" stopIfTrue="1">
      <formula>LEN(TRIM(E393))=0</formula>
    </cfRule>
  </conditionalFormatting>
  <conditionalFormatting sqref="E396:P396">
    <cfRule type="containsBlanks" dxfId="10524" priority="3744" stopIfTrue="1">
      <formula>LEN(TRIM(E396))=0</formula>
    </cfRule>
    <cfRule type="cellIs" dxfId="10523" priority="3745" stopIfTrue="1" operator="between">
      <formula>79.1</formula>
      <formula>100</formula>
    </cfRule>
    <cfRule type="cellIs" dxfId="10522" priority="3746" stopIfTrue="1" operator="between">
      <formula>34.1</formula>
      <formula>79</formula>
    </cfRule>
    <cfRule type="cellIs" dxfId="10521" priority="3747" stopIfTrue="1" operator="between">
      <formula>13.1</formula>
      <formula>34</formula>
    </cfRule>
    <cfRule type="cellIs" dxfId="10520" priority="3748" stopIfTrue="1" operator="between">
      <formula>5.1</formula>
      <formula>13</formula>
    </cfRule>
    <cfRule type="cellIs" dxfId="10519" priority="3749" stopIfTrue="1" operator="between">
      <formula>0</formula>
      <formula>5</formula>
    </cfRule>
    <cfRule type="containsBlanks" dxfId="10518" priority="3750" stopIfTrue="1">
      <formula>LEN(TRIM(E396))=0</formula>
    </cfRule>
  </conditionalFormatting>
  <conditionalFormatting sqref="E381:P381">
    <cfRule type="containsBlanks" dxfId="10517" priority="3737" stopIfTrue="1">
      <formula>LEN(TRIM(E381))=0</formula>
    </cfRule>
    <cfRule type="cellIs" dxfId="10516" priority="3738" stopIfTrue="1" operator="between">
      <formula>79.1</formula>
      <formula>100</formula>
    </cfRule>
    <cfRule type="cellIs" dxfId="10515" priority="3739" stopIfTrue="1" operator="between">
      <formula>34.1</formula>
      <formula>79</formula>
    </cfRule>
    <cfRule type="cellIs" dxfId="10514" priority="3740" stopIfTrue="1" operator="between">
      <formula>13.1</formula>
      <formula>34</formula>
    </cfRule>
    <cfRule type="cellIs" dxfId="10513" priority="3741" stopIfTrue="1" operator="between">
      <formula>5.1</formula>
      <formula>13</formula>
    </cfRule>
    <cfRule type="cellIs" dxfId="10512" priority="3742" stopIfTrue="1" operator="between">
      <formula>0</formula>
      <formula>5</formula>
    </cfRule>
    <cfRule type="containsBlanks" dxfId="10511" priority="3743" stopIfTrue="1">
      <formula>LEN(TRIM(E381))=0</formula>
    </cfRule>
  </conditionalFormatting>
  <conditionalFormatting sqref="E384:H384 J384:N384">
    <cfRule type="containsBlanks" dxfId="10510" priority="3730" stopIfTrue="1">
      <formula>LEN(TRIM(E384))=0</formula>
    </cfRule>
    <cfRule type="cellIs" dxfId="10509" priority="3731" stopIfTrue="1" operator="between">
      <formula>79.1</formula>
      <formula>100</formula>
    </cfRule>
    <cfRule type="cellIs" dxfId="10508" priority="3732" stopIfTrue="1" operator="between">
      <formula>34.1</formula>
      <formula>79</formula>
    </cfRule>
    <cfRule type="cellIs" dxfId="10507" priority="3733" stopIfTrue="1" operator="between">
      <formula>13.1</formula>
      <formula>34</formula>
    </cfRule>
    <cfRule type="cellIs" dxfId="10506" priority="3734" stopIfTrue="1" operator="between">
      <formula>5.1</formula>
      <formula>13</formula>
    </cfRule>
    <cfRule type="cellIs" dxfId="10505" priority="3735" stopIfTrue="1" operator="between">
      <formula>0</formula>
      <formula>5</formula>
    </cfRule>
    <cfRule type="containsBlanks" dxfId="10504" priority="3736" stopIfTrue="1">
      <formula>LEN(TRIM(E384))=0</formula>
    </cfRule>
  </conditionalFormatting>
  <conditionalFormatting sqref="E383:O383 I384">
    <cfRule type="containsBlanks" dxfId="10503" priority="3723" stopIfTrue="1">
      <formula>LEN(TRIM(E383))=0</formula>
    </cfRule>
    <cfRule type="cellIs" dxfId="10502" priority="3724" stopIfTrue="1" operator="between">
      <formula>79.1</formula>
      <formula>100</formula>
    </cfRule>
    <cfRule type="cellIs" dxfId="10501" priority="3725" stopIfTrue="1" operator="between">
      <formula>34.1</formula>
      <formula>79</formula>
    </cfRule>
    <cfRule type="cellIs" dxfId="10500" priority="3726" stopIfTrue="1" operator="between">
      <formula>13.1</formula>
      <formula>34</formula>
    </cfRule>
    <cfRule type="cellIs" dxfId="10499" priority="3727" stopIfTrue="1" operator="between">
      <formula>5.1</formula>
      <formula>13</formula>
    </cfRule>
    <cfRule type="cellIs" dxfId="10498" priority="3728" stopIfTrue="1" operator="between">
      <formula>0</formula>
      <formula>5</formula>
    </cfRule>
    <cfRule type="containsBlanks" dxfId="10497" priority="3729" stopIfTrue="1">
      <formula>LEN(TRIM(E383))=0</formula>
    </cfRule>
  </conditionalFormatting>
  <conditionalFormatting sqref="E376:P376">
    <cfRule type="containsBlanks" dxfId="10496" priority="3716" stopIfTrue="1">
      <formula>LEN(TRIM(E376))=0</formula>
    </cfRule>
    <cfRule type="cellIs" dxfId="10495" priority="3717" stopIfTrue="1" operator="between">
      <formula>79.1</formula>
      <formula>100</formula>
    </cfRule>
    <cfRule type="cellIs" dxfId="10494" priority="3718" stopIfTrue="1" operator="between">
      <formula>34.1</formula>
      <formula>79</formula>
    </cfRule>
    <cfRule type="cellIs" dxfId="10493" priority="3719" stopIfTrue="1" operator="between">
      <formula>13.1</formula>
      <formula>34</formula>
    </cfRule>
    <cfRule type="cellIs" dxfId="10492" priority="3720" stopIfTrue="1" operator="between">
      <formula>5.1</formula>
      <formula>13</formula>
    </cfRule>
    <cfRule type="cellIs" dxfId="10491" priority="3721" stopIfTrue="1" operator="between">
      <formula>0</formula>
      <formula>5</formula>
    </cfRule>
    <cfRule type="containsBlanks" dxfId="10490" priority="3722" stopIfTrue="1">
      <formula>LEN(TRIM(E376))=0</formula>
    </cfRule>
  </conditionalFormatting>
  <conditionalFormatting sqref="E392:M392">
    <cfRule type="containsBlanks" dxfId="10489" priority="3695" stopIfTrue="1">
      <formula>LEN(TRIM(E392))=0</formula>
    </cfRule>
    <cfRule type="cellIs" dxfId="10488" priority="3696" stopIfTrue="1" operator="between">
      <formula>79.1</formula>
      <formula>100</formula>
    </cfRule>
    <cfRule type="cellIs" dxfId="10487" priority="3697" stopIfTrue="1" operator="between">
      <formula>34.1</formula>
      <formula>79</formula>
    </cfRule>
    <cfRule type="cellIs" dxfId="10486" priority="3698" stopIfTrue="1" operator="between">
      <formula>13.1</formula>
      <formula>34</formula>
    </cfRule>
    <cfRule type="cellIs" dxfId="10485" priority="3699" stopIfTrue="1" operator="between">
      <formula>5.1</formula>
      <formula>13</formula>
    </cfRule>
    <cfRule type="cellIs" dxfId="10484" priority="3700" stopIfTrue="1" operator="between">
      <formula>0</formula>
      <formula>5</formula>
    </cfRule>
    <cfRule type="containsBlanks" dxfId="10483" priority="3701" stopIfTrue="1">
      <formula>LEN(TRIM(E392))=0</formula>
    </cfRule>
  </conditionalFormatting>
  <conditionalFormatting sqref="E395:N395">
    <cfRule type="containsBlanks" dxfId="10482" priority="3681" stopIfTrue="1">
      <formula>LEN(TRIM(E395))=0</formula>
    </cfRule>
    <cfRule type="cellIs" dxfId="10481" priority="3682" stopIfTrue="1" operator="between">
      <formula>79.1</formula>
      <formula>100</formula>
    </cfRule>
    <cfRule type="cellIs" dxfId="10480" priority="3683" stopIfTrue="1" operator="between">
      <formula>34.1</formula>
      <formula>79</formula>
    </cfRule>
    <cfRule type="cellIs" dxfId="10479" priority="3684" stopIfTrue="1" operator="between">
      <formula>13.1</formula>
      <formula>34</formula>
    </cfRule>
    <cfRule type="cellIs" dxfId="10478" priority="3685" stopIfTrue="1" operator="between">
      <formula>5.1</formula>
      <formula>13</formula>
    </cfRule>
    <cfRule type="cellIs" dxfId="10477" priority="3686" stopIfTrue="1" operator="between">
      <formula>0</formula>
      <formula>5</formula>
    </cfRule>
    <cfRule type="containsBlanks" dxfId="10476" priority="3687" stopIfTrue="1">
      <formula>LEN(TRIM(E395))=0</formula>
    </cfRule>
  </conditionalFormatting>
  <conditionalFormatting sqref="E389:O389">
    <cfRule type="containsBlanks" dxfId="10475" priority="3667" stopIfTrue="1">
      <formula>LEN(TRIM(E389))=0</formula>
    </cfRule>
    <cfRule type="cellIs" dxfId="10474" priority="3668" stopIfTrue="1" operator="between">
      <formula>79.1</formula>
      <formula>100</formula>
    </cfRule>
    <cfRule type="cellIs" dxfId="10473" priority="3669" stopIfTrue="1" operator="between">
      <formula>34.1</formula>
      <formula>79</formula>
    </cfRule>
    <cfRule type="cellIs" dxfId="10472" priority="3670" stopIfTrue="1" operator="between">
      <formula>13.1</formula>
      <formula>34</formula>
    </cfRule>
    <cfRule type="cellIs" dxfId="10471" priority="3671" stopIfTrue="1" operator="between">
      <formula>5.1</formula>
      <formula>13</formula>
    </cfRule>
    <cfRule type="cellIs" dxfId="10470" priority="3672" stopIfTrue="1" operator="between">
      <formula>0</formula>
      <formula>5</formula>
    </cfRule>
    <cfRule type="containsBlanks" dxfId="10469" priority="3673" stopIfTrue="1">
      <formula>LEN(TRIM(E389))=0</formula>
    </cfRule>
  </conditionalFormatting>
  <conditionalFormatting sqref="E382:O382">
    <cfRule type="containsBlanks" dxfId="10468" priority="3639" stopIfTrue="1">
      <formula>LEN(TRIM(E382))=0</formula>
    </cfRule>
    <cfRule type="cellIs" dxfId="10467" priority="3640" stopIfTrue="1" operator="between">
      <formula>79.1</formula>
      <formula>100</formula>
    </cfRule>
    <cfRule type="cellIs" dxfId="10466" priority="3641" stopIfTrue="1" operator="between">
      <formula>34.1</formula>
      <formula>79</formula>
    </cfRule>
    <cfRule type="cellIs" dxfId="10465" priority="3642" stopIfTrue="1" operator="between">
      <formula>13.1</formula>
      <formula>34</formula>
    </cfRule>
    <cfRule type="cellIs" dxfId="10464" priority="3643" stopIfTrue="1" operator="between">
      <formula>5.1</formula>
      <formula>13</formula>
    </cfRule>
    <cfRule type="cellIs" dxfId="10463" priority="3644" stopIfTrue="1" operator="between">
      <formula>0</formula>
      <formula>5</formula>
    </cfRule>
    <cfRule type="containsBlanks" dxfId="10462" priority="3645" stopIfTrue="1">
      <formula>LEN(TRIM(E382))=0</formula>
    </cfRule>
  </conditionalFormatting>
  <conditionalFormatting sqref="E377:O377 G378">
    <cfRule type="containsBlanks" dxfId="10461" priority="3632" stopIfTrue="1">
      <formula>LEN(TRIM(E377))=0</formula>
    </cfRule>
    <cfRule type="cellIs" dxfId="10460" priority="3633" stopIfTrue="1" operator="between">
      <formula>79.1</formula>
      <formula>100</formula>
    </cfRule>
    <cfRule type="cellIs" dxfId="10459" priority="3634" stopIfTrue="1" operator="between">
      <formula>34.1</formula>
      <formula>79</formula>
    </cfRule>
    <cfRule type="cellIs" dxfId="10458" priority="3635" stopIfTrue="1" operator="between">
      <formula>13.1</formula>
      <formula>34</formula>
    </cfRule>
    <cfRule type="cellIs" dxfId="10457" priority="3636" stopIfTrue="1" operator="between">
      <formula>5.1</formula>
      <formula>13</formula>
    </cfRule>
    <cfRule type="cellIs" dxfId="10456" priority="3637" stopIfTrue="1" operator="between">
      <formula>0</formula>
      <formula>5</formula>
    </cfRule>
    <cfRule type="containsBlanks" dxfId="10455" priority="3638" stopIfTrue="1">
      <formula>LEN(TRIM(E377))=0</formula>
    </cfRule>
  </conditionalFormatting>
  <conditionalFormatting sqref="Q437">
    <cfRule type="containsBlanks" dxfId="10454" priority="3581" stopIfTrue="1">
      <formula>LEN(TRIM(Q437))=0</formula>
    </cfRule>
    <cfRule type="cellIs" dxfId="10453" priority="3582" stopIfTrue="1" operator="between">
      <formula>80.1</formula>
      <formula>100</formula>
    </cfRule>
    <cfRule type="cellIs" dxfId="10452" priority="3583" stopIfTrue="1" operator="between">
      <formula>35.1</formula>
      <formula>80</formula>
    </cfRule>
    <cfRule type="cellIs" dxfId="10451" priority="3584" stopIfTrue="1" operator="between">
      <formula>14.1</formula>
      <formula>35</formula>
    </cfRule>
    <cfRule type="cellIs" dxfId="10450" priority="3585" stopIfTrue="1" operator="between">
      <formula>5.1</formula>
      <formula>14</formula>
    </cfRule>
    <cfRule type="cellIs" dxfId="10449" priority="3586" stopIfTrue="1" operator="between">
      <formula>0</formula>
      <formula>5</formula>
    </cfRule>
    <cfRule type="containsBlanks" dxfId="10448" priority="3587" stopIfTrue="1">
      <formula>LEN(TRIM(Q437))=0</formula>
    </cfRule>
  </conditionalFormatting>
  <conditionalFormatting sqref="Q455">
    <cfRule type="containsBlanks" dxfId="10447" priority="3566" stopIfTrue="1">
      <formula>LEN(TRIM(Q455))=0</formula>
    </cfRule>
    <cfRule type="cellIs" dxfId="10446" priority="3567" stopIfTrue="1" operator="between">
      <formula>80.1</formula>
      <formula>100</formula>
    </cfRule>
    <cfRule type="cellIs" dxfId="10445" priority="3568" stopIfTrue="1" operator="between">
      <formula>35.1</formula>
      <formula>80</formula>
    </cfRule>
    <cfRule type="cellIs" dxfId="10444" priority="3569" stopIfTrue="1" operator="between">
      <formula>14.1</formula>
      <formula>35</formula>
    </cfRule>
    <cfRule type="cellIs" dxfId="10443" priority="3570" stopIfTrue="1" operator="between">
      <formula>5.1</formula>
      <formula>14</formula>
    </cfRule>
    <cfRule type="cellIs" dxfId="10442" priority="3571" stopIfTrue="1" operator="between">
      <formula>0</formula>
      <formula>5</formula>
    </cfRule>
    <cfRule type="containsBlanks" dxfId="10441" priority="3572" stopIfTrue="1">
      <formula>LEN(TRIM(Q455))=0</formula>
    </cfRule>
  </conditionalFormatting>
  <conditionalFormatting sqref="Q98">
    <cfRule type="containsBlanks" dxfId="10440" priority="3084" stopIfTrue="1">
      <formula>LEN(TRIM(Q98))=0</formula>
    </cfRule>
    <cfRule type="cellIs" dxfId="10439" priority="3085" stopIfTrue="1" operator="between">
      <formula>80.1</formula>
      <formula>100</formula>
    </cfRule>
    <cfRule type="cellIs" dxfId="10438" priority="3086" stopIfTrue="1" operator="between">
      <formula>35.1</formula>
      <formula>80</formula>
    </cfRule>
    <cfRule type="cellIs" dxfId="10437" priority="3087" stopIfTrue="1" operator="between">
      <formula>14.1</formula>
      <formula>35</formula>
    </cfRule>
    <cfRule type="cellIs" dxfId="10436" priority="3088" stopIfTrue="1" operator="between">
      <formula>5.1</formula>
      <formula>14</formula>
    </cfRule>
    <cfRule type="cellIs" dxfId="10435" priority="3089" stopIfTrue="1" operator="between">
      <formula>0</formula>
      <formula>5</formula>
    </cfRule>
    <cfRule type="containsBlanks" dxfId="10434" priority="3090" stopIfTrue="1">
      <formula>LEN(TRIM(Q98))=0</formula>
    </cfRule>
  </conditionalFormatting>
  <conditionalFormatting sqref="Q456">
    <cfRule type="containsBlanks" dxfId="10433" priority="3299" stopIfTrue="1">
      <formula>LEN(TRIM(Q456))=0</formula>
    </cfRule>
    <cfRule type="cellIs" dxfId="10432" priority="3300" stopIfTrue="1" operator="between">
      <formula>80.1</formula>
      <formula>100</formula>
    </cfRule>
    <cfRule type="cellIs" dxfId="10431" priority="3301" stopIfTrue="1" operator="between">
      <formula>35.1</formula>
      <formula>80</formula>
    </cfRule>
    <cfRule type="cellIs" dxfId="10430" priority="3302" stopIfTrue="1" operator="between">
      <formula>14.1</formula>
      <formula>35</formula>
    </cfRule>
    <cfRule type="cellIs" dxfId="10429" priority="3303" stopIfTrue="1" operator="between">
      <formula>5.1</formula>
      <formula>14</formula>
    </cfRule>
    <cfRule type="cellIs" dxfId="10428" priority="3304" stopIfTrue="1" operator="between">
      <formula>0</formula>
      <formula>5</formula>
    </cfRule>
    <cfRule type="containsBlanks" dxfId="10427" priority="3305" stopIfTrue="1">
      <formula>LEN(TRIM(Q456))=0</formula>
    </cfRule>
  </conditionalFormatting>
  <conditionalFormatting sqref="E226 I226:N226">
    <cfRule type="containsBlanks" dxfId="10426" priority="3286" stopIfTrue="1">
      <formula>LEN(TRIM(E226))=0</formula>
    </cfRule>
    <cfRule type="cellIs" dxfId="10425" priority="3287" stopIfTrue="1" operator="between">
      <formula>80.1</formula>
      <formula>100</formula>
    </cfRule>
    <cfRule type="cellIs" dxfId="10424" priority="3288" stopIfTrue="1" operator="between">
      <formula>35.1</formula>
      <formula>80</formula>
    </cfRule>
    <cfRule type="cellIs" dxfId="10423" priority="3289" stopIfTrue="1" operator="between">
      <formula>14.1</formula>
      <formula>35</formula>
    </cfRule>
    <cfRule type="cellIs" dxfId="10422" priority="3290" stopIfTrue="1" operator="between">
      <formula>5.1</formula>
      <formula>14</formula>
    </cfRule>
    <cfRule type="cellIs" dxfId="10421" priority="3291" stopIfTrue="1" operator="between">
      <formula>0</formula>
      <formula>5</formula>
    </cfRule>
    <cfRule type="containsBlanks" dxfId="10420" priority="3292" stopIfTrue="1">
      <formula>LEN(TRIM(E226))=0</formula>
    </cfRule>
  </conditionalFormatting>
  <conditionalFormatting sqref="F226:H226">
    <cfRule type="containsBlanks" dxfId="10419" priority="3279" stopIfTrue="1">
      <formula>LEN(TRIM(F226))=0</formula>
    </cfRule>
    <cfRule type="cellIs" dxfId="10418" priority="3280" stopIfTrue="1" operator="between">
      <formula>80.1</formula>
      <formula>100</formula>
    </cfRule>
    <cfRule type="cellIs" dxfId="10417" priority="3281" stopIfTrue="1" operator="between">
      <formula>35.1</formula>
      <formula>80</formula>
    </cfRule>
    <cfRule type="cellIs" dxfId="10416" priority="3282" stopIfTrue="1" operator="between">
      <formula>14.1</formula>
      <formula>35</formula>
    </cfRule>
    <cfRule type="cellIs" dxfId="10415" priority="3283" stopIfTrue="1" operator="between">
      <formula>5.1</formula>
      <formula>14</formula>
    </cfRule>
    <cfRule type="cellIs" dxfId="10414" priority="3284" stopIfTrue="1" operator="between">
      <formula>0</formula>
      <formula>5</formula>
    </cfRule>
    <cfRule type="containsBlanks" dxfId="10413" priority="3285" stopIfTrue="1">
      <formula>LEN(TRIM(F226))=0</formula>
    </cfRule>
  </conditionalFormatting>
  <conditionalFormatting sqref="E227 I227:P227">
    <cfRule type="containsBlanks" dxfId="10412" priority="3272" stopIfTrue="1">
      <formula>LEN(TRIM(E227))=0</formula>
    </cfRule>
    <cfRule type="cellIs" dxfId="10411" priority="3273" stopIfTrue="1" operator="between">
      <formula>80.1</formula>
      <formula>100</formula>
    </cfRule>
    <cfRule type="cellIs" dxfId="10410" priority="3274" stopIfTrue="1" operator="between">
      <formula>35.1</formula>
      <formula>80</formula>
    </cfRule>
    <cfRule type="cellIs" dxfId="10409" priority="3275" stopIfTrue="1" operator="between">
      <formula>14.1</formula>
      <formula>35</formula>
    </cfRule>
    <cfRule type="cellIs" dxfId="10408" priority="3276" stopIfTrue="1" operator="between">
      <formula>5.1</formula>
      <formula>14</formula>
    </cfRule>
    <cfRule type="cellIs" dxfId="10407" priority="3277" stopIfTrue="1" operator="between">
      <formula>0</formula>
      <formula>5</formula>
    </cfRule>
    <cfRule type="containsBlanks" dxfId="10406" priority="3278" stopIfTrue="1">
      <formula>LEN(TRIM(E227))=0</formula>
    </cfRule>
  </conditionalFormatting>
  <conditionalFormatting sqref="F227:H227">
    <cfRule type="containsBlanks" dxfId="10405" priority="3265" stopIfTrue="1">
      <formula>LEN(TRIM(F227))=0</formula>
    </cfRule>
    <cfRule type="cellIs" dxfId="10404" priority="3266" stopIfTrue="1" operator="between">
      <formula>80.1</formula>
      <formula>100</formula>
    </cfRule>
    <cfRule type="cellIs" dxfId="10403" priority="3267" stopIfTrue="1" operator="between">
      <formula>35.1</formula>
      <formula>80</formula>
    </cfRule>
    <cfRule type="cellIs" dxfId="10402" priority="3268" stopIfTrue="1" operator="between">
      <formula>14.1</formula>
      <formula>35</formula>
    </cfRule>
    <cfRule type="cellIs" dxfId="10401" priority="3269" stopIfTrue="1" operator="between">
      <formula>5.1</formula>
      <formula>14</formula>
    </cfRule>
    <cfRule type="cellIs" dxfId="10400" priority="3270" stopIfTrue="1" operator="between">
      <formula>0</formula>
      <formula>5</formula>
    </cfRule>
    <cfRule type="containsBlanks" dxfId="10399" priority="3271" stopIfTrue="1">
      <formula>LEN(TRIM(F227))=0</formula>
    </cfRule>
  </conditionalFormatting>
  <conditionalFormatting sqref="E228:L228">
    <cfRule type="containsBlanks" dxfId="10398" priority="3258" stopIfTrue="1">
      <formula>LEN(TRIM(E228))=0</formula>
    </cfRule>
    <cfRule type="cellIs" dxfId="10397" priority="3259" stopIfTrue="1" operator="between">
      <formula>80.1</formula>
      <formula>100</formula>
    </cfRule>
    <cfRule type="cellIs" dxfId="10396" priority="3260" stopIfTrue="1" operator="between">
      <formula>35.1</formula>
      <formula>80</formula>
    </cfRule>
    <cfRule type="cellIs" dxfId="10395" priority="3261" stopIfTrue="1" operator="between">
      <formula>14.1</formula>
      <formula>35</formula>
    </cfRule>
    <cfRule type="cellIs" dxfId="10394" priority="3262" stopIfTrue="1" operator="between">
      <formula>5.1</formula>
      <formula>14</formula>
    </cfRule>
    <cfRule type="cellIs" dxfId="10393" priority="3263" stopIfTrue="1" operator="between">
      <formula>0</formula>
      <formula>5</formula>
    </cfRule>
    <cfRule type="containsBlanks" dxfId="10392" priority="3264" stopIfTrue="1">
      <formula>LEN(TRIM(E228))=0</formula>
    </cfRule>
  </conditionalFormatting>
  <conditionalFormatting sqref="E233:N233">
    <cfRule type="containsBlanks" dxfId="10391" priority="3251" stopIfTrue="1">
      <formula>LEN(TRIM(E233))=0</formula>
    </cfRule>
    <cfRule type="cellIs" dxfId="10390" priority="3252" stopIfTrue="1" operator="between">
      <formula>80.1</formula>
      <formula>100</formula>
    </cfRule>
    <cfRule type="cellIs" dxfId="10389" priority="3253" stopIfTrue="1" operator="between">
      <formula>35.1</formula>
      <formula>80</formula>
    </cfRule>
    <cfRule type="cellIs" dxfId="10388" priority="3254" stopIfTrue="1" operator="between">
      <formula>14.1</formula>
      <formula>35</formula>
    </cfRule>
    <cfRule type="cellIs" dxfId="10387" priority="3255" stopIfTrue="1" operator="between">
      <formula>5.1</formula>
      <formula>14</formula>
    </cfRule>
    <cfRule type="cellIs" dxfId="10386" priority="3256" stopIfTrue="1" operator="between">
      <formula>0</formula>
      <formula>5</formula>
    </cfRule>
    <cfRule type="containsBlanks" dxfId="10385" priority="3257" stopIfTrue="1">
      <formula>LEN(TRIM(E233))=0</formula>
    </cfRule>
  </conditionalFormatting>
  <conditionalFormatting sqref="E234:M234">
    <cfRule type="containsBlanks" dxfId="10384" priority="3244" stopIfTrue="1">
      <formula>LEN(TRIM(E234))=0</formula>
    </cfRule>
    <cfRule type="cellIs" dxfId="10383" priority="3245" stopIfTrue="1" operator="between">
      <formula>80.1</formula>
      <formula>100</formula>
    </cfRule>
    <cfRule type="cellIs" dxfId="10382" priority="3246" stopIfTrue="1" operator="between">
      <formula>35.1</formula>
      <formula>80</formula>
    </cfRule>
    <cfRule type="cellIs" dxfId="10381" priority="3247" stopIfTrue="1" operator="between">
      <formula>14.1</formula>
      <formula>35</formula>
    </cfRule>
    <cfRule type="cellIs" dxfId="10380" priority="3248" stopIfTrue="1" operator="between">
      <formula>5.1</formula>
      <formula>14</formula>
    </cfRule>
    <cfRule type="cellIs" dxfId="10379" priority="3249" stopIfTrue="1" operator="between">
      <formula>0</formula>
      <formula>5</formula>
    </cfRule>
    <cfRule type="containsBlanks" dxfId="10378" priority="3250" stopIfTrue="1">
      <formula>LEN(TRIM(E234))=0</formula>
    </cfRule>
  </conditionalFormatting>
  <conditionalFormatting sqref="E236:M236">
    <cfRule type="containsBlanks" dxfId="10377" priority="3237" stopIfTrue="1">
      <formula>LEN(TRIM(E236))=0</formula>
    </cfRule>
    <cfRule type="cellIs" dxfId="10376" priority="3238" stopIfTrue="1" operator="between">
      <formula>80.1</formula>
      <formula>100</formula>
    </cfRule>
    <cfRule type="cellIs" dxfId="10375" priority="3239" stopIfTrue="1" operator="between">
      <formula>35.1</formula>
      <formula>80</formula>
    </cfRule>
    <cfRule type="cellIs" dxfId="10374" priority="3240" stopIfTrue="1" operator="between">
      <formula>14.1</formula>
      <formula>35</formula>
    </cfRule>
    <cfRule type="cellIs" dxfId="10373" priority="3241" stopIfTrue="1" operator="between">
      <formula>5.1</formula>
      <formula>14</formula>
    </cfRule>
    <cfRule type="cellIs" dxfId="10372" priority="3242" stopIfTrue="1" operator="between">
      <formula>0</formula>
      <formula>5</formula>
    </cfRule>
    <cfRule type="containsBlanks" dxfId="10371" priority="3243" stopIfTrue="1">
      <formula>LEN(TRIM(E236))=0</formula>
    </cfRule>
  </conditionalFormatting>
  <conditionalFormatting sqref="R161 R251:R270 R273 R283:R287 R95 R275:R281 R293:R326 R371:R457 R106:R130 R132:R159 R164:R248 R328:R369 R12:R92">
    <cfRule type="cellIs" dxfId="10370" priority="3214" stopIfTrue="1" operator="equal">
      <formula>"NO"</formula>
    </cfRule>
  </conditionalFormatting>
  <conditionalFormatting sqref="R11">
    <cfRule type="cellIs" dxfId="10369" priority="3206" stopIfTrue="1" operator="equal">
      <formula>"NO"</formula>
    </cfRule>
  </conditionalFormatting>
  <conditionalFormatting sqref="S161 S251:S270 S273 S283:S287 S95 S275:S281 S293:S326 S371:S503 S106:S130 S132:S159 S164:S248 S328:S369 S11:S92">
    <cfRule type="cellIs" dxfId="10368" priority="3205" stopIfTrue="1" operator="equal">
      <formula>"INVIABLE SANITARIAMENTE"</formula>
    </cfRule>
  </conditionalFormatting>
  <conditionalFormatting sqref="Q161 Q251:Q270 Q273 Q283:Q287 Q275:Q281 Q293:Q326 Q371:Q461">
    <cfRule type="containsBlanks" dxfId="10367" priority="3198" stopIfTrue="1">
      <formula>LEN(TRIM(Q161))=0</formula>
    </cfRule>
    <cfRule type="cellIs" dxfId="10366" priority="3199" stopIfTrue="1" operator="between">
      <formula>80.1</formula>
      <formula>100</formula>
    </cfRule>
    <cfRule type="cellIs" dxfId="10365" priority="3200" stopIfTrue="1" operator="between">
      <formula>35.1</formula>
      <formula>80</formula>
    </cfRule>
    <cfRule type="cellIs" dxfId="10364" priority="3201" stopIfTrue="1" operator="between">
      <formula>14.1</formula>
      <formula>35</formula>
    </cfRule>
    <cfRule type="cellIs" dxfId="10363" priority="3202" stopIfTrue="1" operator="between">
      <formula>5.1</formula>
      <formula>14</formula>
    </cfRule>
    <cfRule type="cellIs" dxfId="10362" priority="3203" stopIfTrue="1" operator="between">
      <formula>0</formula>
      <formula>5</formula>
    </cfRule>
    <cfRule type="containsBlanks" dxfId="10361" priority="3204" stopIfTrue="1">
      <formula>LEN(TRIM(Q161))=0</formula>
    </cfRule>
  </conditionalFormatting>
  <conditionalFormatting sqref="S161 S251:S270 S273 S283:S287 S95 S275:S281 S293:S326 S371:S503 S106:S130 S132:S159 S164:S248 S328:S369 S11:S92">
    <cfRule type="containsText" dxfId="10360" priority="3193" stopIfTrue="1" operator="containsText" text="INVIABLE SANITARIAMENTE">
      <formula>NOT(ISERROR(SEARCH("INVIABLE SANITARIAMENTE",S11)))</formula>
    </cfRule>
    <cfRule type="containsText" dxfId="10359" priority="3194" stopIfTrue="1" operator="containsText" text="ALTO">
      <formula>NOT(ISERROR(SEARCH("ALTO",S11)))</formula>
    </cfRule>
    <cfRule type="containsText" dxfId="10358" priority="3195" stopIfTrue="1" operator="containsText" text="MEDIO">
      <formula>NOT(ISERROR(SEARCH("MEDIO",S11)))</formula>
    </cfRule>
    <cfRule type="containsText" dxfId="10357" priority="3196" stopIfTrue="1" operator="containsText" text="BAJO">
      <formula>NOT(ISERROR(SEARCH("BAJO",S11)))</formula>
    </cfRule>
    <cfRule type="containsText" dxfId="10356" priority="3197" stopIfTrue="1" operator="containsText" text="SIN RIESGO">
      <formula>NOT(ISERROR(SEARCH("SIN RIESGO",S11)))</formula>
    </cfRule>
  </conditionalFormatting>
  <conditionalFormatting sqref="S161 S251:S270 S273 S283:S287 S95 S275:S281 S293:S326 S371:S503 S106:S130 S132:S159 S164:S248 S328:S369 S11:S92">
    <cfRule type="containsText" dxfId="10355" priority="3192" stopIfTrue="1" operator="containsText" text="SIN RIESGO">
      <formula>NOT(ISERROR(SEARCH("SIN RIESGO",S11)))</formula>
    </cfRule>
  </conditionalFormatting>
  <conditionalFormatting sqref="E12:P15 E18:P18 E20:P21 E16:H16">
    <cfRule type="containsBlanks" dxfId="10354" priority="3185" stopIfTrue="1">
      <formula>LEN(TRIM(E12))=0</formula>
    </cfRule>
    <cfRule type="cellIs" dxfId="10353" priority="3186" stopIfTrue="1" operator="between">
      <formula>79.1</formula>
      <formula>100</formula>
    </cfRule>
    <cfRule type="cellIs" dxfId="10352" priority="3187" stopIfTrue="1" operator="between">
      <formula>34.1</formula>
      <formula>79</formula>
    </cfRule>
    <cfRule type="cellIs" dxfId="10351" priority="3188" stopIfTrue="1" operator="between">
      <formula>13.1</formula>
      <formula>34</formula>
    </cfRule>
    <cfRule type="cellIs" dxfId="10350" priority="3189" stopIfTrue="1" operator="between">
      <formula>5.1</formula>
      <formula>13</formula>
    </cfRule>
    <cfRule type="cellIs" dxfId="10349" priority="3190" stopIfTrue="1" operator="between">
      <formula>0</formula>
      <formula>5</formula>
    </cfRule>
    <cfRule type="containsBlanks" dxfId="10348" priority="3191" stopIfTrue="1">
      <formula>LEN(TRIM(E12))=0</formula>
    </cfRule>
  </conditionalFormatting>
  <conditionalFormatting sqref="Q105">
    <cfRule type="containsBlanks" dxfId="10347" priority="3171" stopIfTrue="1">
      <formula>LEN(TRIM(Q105))=0</formula>
    </cfRule>
    <cfRule type="cellIs" dxfId="10346" priority="3172" stopIfTrue="1" operator="between">
      <formula>80.1</formula>
      <formula>100</formula>
    </cfRule>
    <cfRule type="cellIs" dxfId="10345" priority="3173" stopIfTrue="1" operator="between">
      <formula>35.1</formula>
      <formula>80</formula>
    </cfRule>
    <cfRule type="cellIs" dxfId="10344" priority="3174" stopIfTrue="1" operator="between">
      <formula>14.1</formula>
      <formula>35</formula>
    </cfRule>
    <cfRule type="cellIs" dxfId="10343" priority="3175" stopIfTrue="1" operator="between">
      <formula>5.1</formula>
      <formula>14</formula>
    </cfRule>
    <cfRule type="cellIs" dxfId="10342" priority="3176" stopIfTrue="1" operator="between">
      <formula>0</formula>
      <formula>5</formula>
    </cfRule>
    <cfRule type="containsBlanks" dxfId="10341" priority="3177" stopIfTrue="1">
      <formula>LEN(TRIM(Q105))=0</formula>
    </cfRule>
  </conditionalFormatting>
  <conditionalFormatting sqref="R105">
    <cfRule type="cellIs" dxfId="10340" priority="3170" stopIfTrue="1" operator="equal">
      <formula>"NO"</formula>
    </cfRule>
  </conditionalFormatting>
  <conditionalFormatting sqref="S105">
    <cfRule type="cellIs" dxfId="10339" priority="3169" stopIfTrue="1" operator="equal">
      <formula>"INVIABLE SANITARIAMENTE"</formula>
    </cfRule>
  </conditionalFormatting>
  <conditionalFormatting sqref="Q105">
    <cfRule type="containsBlanks" dxfId="10338" priority="3162" stopIfTrue="1">
      <formula>LEN(TRIM(Q105))=0</formula>
    </cfRule>
    <cfRule type="cellIs" dxfId="10337" priority="3163" stopIfTrue="1" operator="between">
      <formula>80.1</formula>
      <formula>100</formula>
    </cfRule>
    <cfRule type="cellIs" dxfId="10336" priority="3164" stopIfTrue="1" operator="between">
      <formula>35.1</formula>
      <formula>80</formula>
    </cfRule>
    <cfRule type="cellIs" dxfId="10335" priority="3165" stopIfTrue="1" operator="between">
      <formula>14.1</formula>
      <formula>35</formula>
    </cfRule>
    <cfRule type="cellIs" dxfId="10334" priority="3166" stopIfTrue="1" operator="between">
      <formula>5.1</formula>
      <formula>14</formula>
    </cfRule>
    <cfRule type="cellIs" dxfId="10333" priority="3167" stopIfTrue="1" operator="between">
      <formula>0</formula>
      <formula>5</formula>
    </cfRule>
    <cfRule type="containsBlanks" dxfId="10332" priority="3168" stopIfTrue="1">
      <formula>LEN(TRIM(Q105))=0</formula>
    </cfRule>
  </conditionalFormatting>
  <conditionalFormatting sqref="S105">
    <cfRule type="containsText" dxfId="10331" priority="3157" stopIfTrue="1" operator="containsText" text="INVIABLE SANITARIAMENTE">
      <formula>NOT(ISERROR(SEARCH("INVIABLE SANITARIAMENTE",S105)))</formula>
    </cfRule>
    <cfRule type="containsText" dxfId="10330" priority="3158" stopIfTrue="1" operator="containsText" text="ALTO">
      <formula>NOT(ISERROR(SEARCH("ALTO",S105)))</formula>
    </cfRule>
    <cfRule type="containsText" dxfId="10329" priority="3159" stopIfTrue="1" operator="containsText" text="MEDIO">
      <formula>NOT(ISERROR(SEARCH("MEDIO",S105)))</formula>
    </cfRule>
    <cfRule type="containsText" dxfId="10328" priority="3160" stopIfTrue="1" operator="containsText" text="BAJO">
      <formula>NOT(ISERROR(SEARCH("BAJO",S105)))</formula>
    </cfRule>
    <cfRule type="containsText" dxfId="10327" priority="3161" stopIfTrue="1" operator="containsText" text="SIN RIESGO">
      <formula>NOT(ISERROR(SEARCH("SIN RIESGO",S105)))</formula>
    </cfRule>
  </conditionalFormatting>
  <conditionalFormatting sqref="S105">
    <cfRule type="containsText" dxfId="10326" priority="3156" stopIfTrue="1" operator="containsText" text="SIN RIESGO">
      <formula>NOT(ISERROR(SEARCH("SIN RIESGO",S105)))</formula>
    </cfRule>
  </conditionalFormatting>
  <conditionalFormatting sqref="E96:P96">
    <cfRule type="containsBlanks" dxfId="10325" priority="3149" stopIfTrue="1">
      <formula>LEN(TRIM(E96))=0</formula>
    </cfRule>
    <cfRule type="cellIs" dxfId="10324" priority="3150" stopIfTrue="1" operator="between">
      <formula>79.1</formula>
      <formula>100</formula>
    </cfRule>
    <cfRule type="cellIs" dxfId="10323" priority="3151" stopIfTrue="1" operator="between">
      <formula>34.1</formula>
      <formula>79</formula>
    </cfRule>
    <cfRule type="cellIs" dxfId="10322" priority="3152" stopIfTrue="1" operator="between">
      <formula>13.1</formula>
      <formula>34</formula>
    </cfRule>
    <cfRule type="cellIs" dxfId="10321" priority="3153" stopIfTrue="1" operator="between">
      <formula>5.1</formula>
      <formula>13</formula>
    </cfRule>
    <cfRule type="cellIs" dxfId="10320" priority="3154" stopIfTrue="1" operator="between">
      <formula>0</formula>
      <formula>5</formula>
    </cfRule>
    <cfRule type="containsBlanks" dxfId="10319" priority="3155" stopIfTrue="1">
      <formula>LEN(TRIM(E96))=0</formula>
    </cfRule>
  </conditionalFormatting>
  <conditionalFormatting sqref="Q96">
    <cfRule type="containsBlanks" dxfId="10318" priority="3142" stopIfTrue="1">
      <formula>LEN(TRIM(Q96))=0</formula>
    </cfRule>
    <cfRule type="cellIs" dxfId="10317" priority="3143" stopIfTrue="1" operator="between">
      <formula>80.1</formula>
      <formula>100</formula>
    </cfRule>
    <cfRule type="cellIs" dxfId="10316" priority="3144" stopIfTrue="1" operator="between">
      <formula>35.1</formula>
      <formula>80</formula>
    </cfRule>
    <cfRule type="cellIs" dxfId="10315" priority="3145" stopIfTrue="1" operator="between">
      <formula>14.1</formula>
      <formula>35</formula>
    </cfRule>
    <cfRule type="cellIs" dxfId="10314" priority="3146" stopIfTrue="1" operator="between">
      <formula>5.1</formula>
      <formula>14</formula>
    </cfRule>
    <cfRule type="cellIs" dxfId="10313" priority="3147" stopIfTrue="1" operator="between">
      <formula>0</formula>
      <formula>5</formula>
    </cfRule>
    <cfRule type="containsBlanks" dxfId="10312" priority="3148" stopIfTrue="1">
      <formula>LEN(TRIM(Q96))=0</formula>
    </cfRule>
  </conditionalFormatting>
  <conditionalFormatting sqref="R96">
    <cfRule type="cellIs" dxfId="10311" priority="3141" stopIfTrue="1" operator="equal">
      <formula>"NO"</formula>
    </cfRule>
  </conditionalFormatting>
  <conditionalFormatting sqref="S96">
    <cfRule type="cellIs" dxfId="10310" priority="3140" stopIfTrue="1" operator="equal">
      <formula>"INVIABLE SANITARIAMENTE"</formula>
    </cfRule>
  </conditionalFormatting>
  <conditionalFormatting sqref="Q96">
    <cfRule type="containsBlanks" dxfId="10309" priority="3133" stopIfTrue="1">
      <formula>LEN(TRIM(Q96))=0</formula>
    </cfRule>
    <cfRule type="cellIs" dxfId="10308" priority="3134" stopIfTrue="1" operator="between">
      <formula>80.1</formula>
      <formula>100</formula>
    </cfRule>
    <cfRule type="cellIs" dxfId="10307" priority="3135" stopIfTrue="1" operator="between">
      <formula>35.1</formula>
      <formula>80</formula>
    </cfRule>
    <cfRule type="cellIs" dxfId="10306" priority="3136" stopIfTrue="1" operator="between">
      <formula>14.1</formula>
      <formula>35</formula>
    </cfRule>
    <cfRule type="cellIs" dxfId="10305" priority="3137" stopIfTrue="1" operator="between">
      <formula>5.1</formula>
      <formula>14</formula>
    </cfRule>
    <cfRule type="cellIs" dxfId="10304" priority="3138" stopIfTrue="1" operator="between">
      <formula>0</formula>
      <formula>5</formula>
    </cfRule>
    <cfRule type="containsBlanks" dxfId="10303" priority="3139" stopIfTrue="1">
      <formula>LEN(TRIM(Q96))=0</formula>
    </cfRule>
  </conditionalFormatting>
  <conditionalFormatting sqref="S96">
    <cfRule type="containsText" dxfId="10302" priority="3128" stopIfTrue="1" operator="containsText" text="INVIABLE SANITARIAMENTE">
      <formula>NOT(ISERROR(SEARCH("INVIABLE SANITARIAMENTE",S96)))</formula>
    </cfRule>
    <cfRule type="containsText" dxfId="10301" priority="3129" stopIfTrue="1" operator="containsText" text="ALTO">
      <formula>NOT(ISERROR(SEARCH("ALTO",S96)))</formula>
    </cfRule>
    <cfRule type="containsText" dxfId="10300" priority="3130" stopIfTrue="1" operator="containsText" text="MEDIO">
      <formula>NOT(ISERROR(SEARCH("MEDIO",S96)))</formula>
    </cfRule>
    <cfRule type="containsText" dxfId="10299" priority="3131" stopIfTrue="1" operator="containsText" text="BAJO">
      <formula>NOT(ISERROR(SEARCH("BAJO",S96)))</formula>
    </cfRule>
    <cfRule type="containsText" dxfId="10298" priority="3132" stopIfTrue="1" operator="containsText" text="SIN RIESGO">
      <formula>NOT(ISERROR(SEARCH("SIN RIESGO",S96)))</formula>
    </cfRule>
  </conditionalFormatting>
  <conditionalFormatting sqref="S96">
    <cfRule type="containsText" dxfId="10297" priority="3127" stopIfTrue="1" operator="containsText" text="SIN RIESGO">
      <formula>NOT(ISERROR(SEARCH("SIN RIESGO",S96)))</formula>
    </cfRule>
  </conditionalFormatting>
  <conditionalFormatting sqref="E97:P97">
    <cfRule type="containsBlanks" dxfId="10296" priority="3120" stopIfTrue="1">
      <formula>LEN(TRIM(E97))=0</formula>
    </cfRule>
    <cfRule type="cellIs" dxfId="10295" priority="3121" stopIfTrue="1" operator="between">
      <formula>79.1</formula>
      <formula>100</formula>
    </cfRule>
    <cfRule type="cellIs" dxfId="10294" priority="3122" stopIfTrue="1" operator="between">
      <formula>34.1</formula>
      <formula>79</formula>
    </cfRule>
    <cfRule type="cellIs" dxfId="10293" priority="3123" stopIfTrue="1" operator="between">
      <formula>13.1</formula>
      <formula>34</formula>
    </cfRule>
    <cfRule type="cellIs" dxfId="10292" priority="3124" stopIfTrue="1" operator="between">
      <formula>5.1</formula>
      <formula>13</formula>
    </cfRule>
    <cfRule type="cellIs" dxfId="10291" priority="3125" stopIfTrue="1" operator="between">
      <formula>0</formula>
      <formula>5</formula>
    </cfRule>
    <cfRule type="containsBlanks" dxfId="10290" priority="3126" stopIfTrue="1">
      <formula>LEN(TRIM(E97))=0</formula>
    </cfRule>
  </conditionalFormatting>
  <conditionalFormatting sqref="Q97">
    <cfRule type="containsBlanks" dxfId="10289" priority="3113" stopIfTrue="1">
      <formula>LEN(TRIM(Q97))=0</formula>
    </cfRule>
    <cfRule type="cellIs" dxfId="10288" priority="3114" stopIfTrue="1" operator="between">
      <formula>80.1</formula>
      <formula>100</formula>
    </cfRule>
    <cfRule type="cellIs" dxfId="10287" priority="3115" stopIfTrue="1" operator="between">
      <formula>35.1</formula>
      <formula>80</formula>
    </cfRule>
    <cfRule type="cellIs" dxfId="10286" priority="3116" stopIfTrue="1" operator="between">
      <formula>14.1</formula>
      <formula>35</formula>
    </cfRule>
    <cfRule type="cellIs" dxfId="10285" priority="3117" stopIfTrue="1" operator="between">
      <formula>5.1</formula>
      <formula>14</formula>
    </cfRule>
    <cfRule type="cellIs" dxfId="10284" priority="3118" stopIfTrue="1" operator="between">
      <formula>0</formula>
      <formula>5</formula>
    </cfRule>
    <cfRule type="containsBlanks" dxfId="10283" priority="3119" stopIfTrue="1">
      <formula>LEN(TRIM(Q97))=0</formula>
    </cfRule>
  </conditionalFormatting>
  <conditionalFormatting sqref="R97">
    <cfRule type="cellIs" dxfId="10282" priority="3112" stopIfTrue="1" operator="equal">
      <formula>"NO"</formula>
    </cfRule>
  </conditionalFormatting>
  <conditionalFormatting sqref="S97">
    <cfRule type="cellIs" dxfId="10281" priority="3111" stopIfTrue="1" operator="equal">
      <formula>"INVIABLE SANITARIAMENTE"</formula>
    </cfRule>
  </conditionalFormatting>
  <conditionalFormatting sqref="Q97">
    <cfRule type="containsBlanks" dxfId="10280" priority="3104" stopIfTrue="1">
      <formula>LEN(TRIM(Q97))=0</formula>
    </cfRule>
    <cfRule type="cellIs" dxfId="10279" priority="3105" stopIfTrue="1" operator="between">
      <formula>80.1</formula>
      <formula>100</formula>
    </cfRule>
    <cfRule type="cellIs" dxfId="10278" priority="3106" stopIfTrue="1" operator="between">
      <formula>35.1</formula>
      <formula>80</formula>
    </cfRule>
    <cfRule type="cellIs" dxfId="10277" priority="3107" stopIfTrue="1" operator="between">
      <formula>14.1</formula>
      <formula>35</formula>
    </cfRule>
    <cfRule type="cellIs" dxfId="10276" priority="3108" stopIfTrue="1" operator="between">
      <formula>5.1</formula>
      <formula>14</formula>
    </cfRule>
    <cfRule type="cellIs" dxfId="10275" priority="3109" stopIfTrue="1" operator="between">
      <formula>0</formula>
      <formula>5</formula>
    </cfRule>
    <cfRule type="containsBlanks" dxfId="10274" priority="3110" stopIfTrue="1">
      <formula>LEN(TRIM(Q97))=0</formula>
    </cfRule>
  </conditionalFormatting>
  <conditionalFormatting sqref="S97">
    <cfRule type="containsText" dxfId="10273" priority="3099" stopIfTrue="1" operator="containsText" text="INVIABLE SANITARIAMENTE">
      <formula>NOT(ISERROR(SEARCH("INVIABLE SANITARIAMENTE",S97)))</formula>
    </cfRule>
    <cfRule type="containsText" dxfId="10272" priority="3100" stopIfTrue="1" operator="containsText" text="ALTO">
      <formula>NOT(ISERROR(SEARCH("ALTO",S97)))</formula>
    </cfRule>
    <cfRule type="containsText" dxfId="10271" priority="3101" stopIfTrue="1" operator="containsText" text="MEDIO">
      <formula>NOT(ISERROR(SEARCH("MEDIO",S97)))</formula>
    </cfRule>
    <cfRule type="containsText" dxfId="10270" priority="3102" stopIfTrue="1" operator="containsText" text="BAJO">
      <formula>NOT(ISERROR(SEARCH("BAJO",S97)))</formula>
    </cfRule>
    <cfRule type="containsText" dxfId="10269" priority="3103" stopIfTrue="1" operator="containsText" text="SIN RIESGO">
      <formula>NOT(ISERROR(SEARCH("SIN RIESGO",S97)))</formula>
    </cfRule>
  </conditionalFormatting>
  <conditionalFormatting sqref="S97">
    <cfRule type="containsText" dxfId="10268" priority="3098" stopIfTrue="1" operator="containsText" text="SIN RIESGO">
      <formula>NOT(ISERROR(SEARCH("SIN RIESGO",S97)))</formula>
    </cfRule>
  </conditionalFormatting>
  <conditionalFormatting sqref="R98">
    <cfRule type="cellIs" dxfId="10267" priority="3083" stopIfTrue="1" operator="equal">
      <formula>"NO"</formula>
    </cfRule>
  </conditionalFormatting>
  <conditionalFormatting sqref="S98">
    <cfRule type="cellIs" dxfId="10266" priority="3082" stopIfTrue="1" operator="equal">
      <formula>"INVIABLE SANITARIAMENTE"</formula>
    </cfRule>
  </conditionalFormatting>
  <conditionalFormatting sqref="Q98">
    <cfRule type="containsBlanks" dxfId="10265" priority="3075" stopIfTrue="1">
      <formula>LEN(TRIM(Q98))=0</formula>
    </cfRule>
    <cfRule type="cellIs" dxfId="10264" priority="3076" stopIfTrue="1" operator="between">
      <formula>80.1</formula>
      <formula>100</formula>
    </cfRule>
    <cfRule type="cellIs" dxfId="10263" priority="3077" stopIfTrue="1" operator="between">
      <formula>35.1</formula>
      <formula>80</formula>
    </cfRule>
    <cfRule type="cellIs" dxfId="10262" priority="3078" stopIfTrue="1" operator="between">
      <formula>14.1</formula>
      <formula>35</formula>
    </cfRule>
    <cfRule type="cellIs" dxfId="10261" priority="3079" stopIfTrue="1" operator="between">
      <formula>5.1</formula>
      <formula>14</formula>
    </cfRule>
    <cfRule type="cellIs" dxfId="10260" priority="3080" stopIfTrue="1" operator="between">
      <formula>0</formula>
      <formula>5</formula>
    </cfRule>
    <cfRule type="containsBlanks" dxfId="10259" priority="3081" stopIfTrue="1">
      <formula>LEN(TRIM(Q98))=0</formula>
    </cfRule>
  </conditionalFormatting>
  <conditionalFormatting sqref="S98">
    <cfRule type="containsText" dxfId="10258" priority="3070" stopIfTrue="1" operator="containsText" text="INVIABLE SANITARIAMENTE">
      <formula>NOT(ISERROR(SEARCH("INVIABLE SANITARIAMENTE",S98)))</formula>
    </cfRule>
    <cfRule type="containsText" dxfId="10257" priority="3071" stopIfTrue="1" operator="containsText" text="ALTO">
      <formula>NOT(ISERROR(SEARCH("ALTO",S98)))</formula>
    </cfRule>
    <cfRule type="containsText" dxfId="10256" priority="3072" stopIfTrue="1" operator="containsText" text="MEDIO">
      <formula>NOT(ISERROR(SEARCH("MEDIO",S98)))</formula>
    </cfRule>
    <cfRule type="containsText" dxfId="10255" priority="3073" stopIfTrue="1" operator="containsText" text="BAJO">
      <formula>NOT(ISERROR(SEARCH("BAJO",S98)))</formula>
    </cfRule>
    <cfRule type="containsText" dxfId="10254" priority="3074" stopIfTrue="1" operator="containsText" text="SIN RIESGO">
      <formula>NOT(ISERROR(SEARCH("SIN RIESGO",S98)))</formula>
    </cfRule>
  </conditionalFormatting>
  <conditionalFormatting sqref="S98">
    <cfRule type="containsText" dxfId="10253" priority="3069" stopIfTrue="1" operator="containsText" text="SIN RIESGO">
      <formula>NOT(ISERROR(SEARCH("SIN RIESGO",S98)))</formula>
    </cfRule>
  </conditionalFormatting>
  <conditionalFormatting sqref="E99:P99">
    <cfRule type="containsBlanks" dxfId="10252" priority="3062" stopIfTrue="1">
      <formula>LEN(TRIM(E99))=0</formula>
    </cfRule>
    <cfRule type="cellIs" dxfId="10251" priority="3063" stopIfTrue="1" operator="between">
      <formula>79.1</formula>
      <formula>100</formula>
    </cfRule>
    <cfRule type="cellIs" dxfId="10250" priority="3064" stopIfTrue="1" operator="between">
      <formula>34.1</formula>
      <formula>79</formula>
    </cfRule>
    <cfRule type="cellIs" dxfId="10249" priority="3065" stopIfTrue="1" operator="between">
      <formula>13.1</formula>
      <formula>34</formula>
    </cfRule>
    <cfRule type="cellIs" dxfId="10248" priority="3066" stopIfTrue="1" operator="between">
      <formula>5.1</formula>
      <formula>13</formula>
    </cfRule>
    <cfRule type="cellIs" dxfId="10247" priority="3067" stopIfTrue="1" operator="between">
      <formula>0</formula>
      <formula>5</formula>
    </cfRule>
    <cfRule type="containsBlanks" dxfId="10246" priority="3068" stopIfTrue="1">
      <formula>LEN(TRIM(E99))=0</formula>
    </cfRule>
  </conditionalFormatting>
  <conditionalFormatting sqref="Q99">
    <cfRule type="containsBlanks" dxfId="10245" priority="3055" stopIfTrue="1">
      <formula>LEN(TRIM(Q99))=0</formula>
    </cfRule>
    <cfRule type="cellIs" dxfId="10244" priority="3056" stopIfTrue="1" operator="between">
      <formula>80.1</formula>
      <formula>100</formula>
    </cfRule>
    <cfRule type="cellIs" dxfId="10243" priority="3057" stopIfTrue="1" operator="between">
      <formula>35.1</formula>
      <formula>80</formula>
    </cfRule>
    <cfRule type="cellIs" dxfId="10242" priority="3058" stopIfTrue="1" operator="between">
      <formula>14.1</formula>
      <formula>35</formula>
    </cfRule>
    <cfRule type="cellIs" dxfId="10241" priority="3059" stopIfTrue="1" operator="between">
      <formula>5.1</formula>
      <formula>14</formula>
    </cfRule>
    <cfRule type="cellIs" dxfId="10240" priority="3060" stopIfTrue="1" operator="between">
      <formula>0</formula>
      <formula>5</formula>
    </cfRule>
    <cfRule type="containsBlanks" dxfId="10239" priority="3061" stopIfTrue="1">
      <formula>LEN(TRIM(Q99))=0</formula>
    </cfRule>
  </conditionalFormatting>
  <conditionalFormatting sqref="R99">
    <cfRule type="cellIs" dxfId="10238" priority="3054" stopIfTrue="1" operator="equal">
      <formula>"NO"</formula>
    </cfRule>
  </conditionalFormatting>
  <conditionalFormatting sqref="S99">
    <cfRule type="cellIs" dxfId="10237" priority="3053" stopIfTrue="1" operator="equal">
      <formula>"INVIABLE SANITARIAMENTE"</formula>
    </cfRule>
  </conditionalFormatting>
  <conditionalFormatting sqref="Q99">
    <cfRule type="containsBlanks" dxfId="10236" priority="3046" stopIfTrue="1">
      <formula>LEN(TRIM(Q99))=0</formula>
    </cfRule>
    <cfRule type="cellIs" dxfId="10235" priority="3047" stopIfTrue="1" operator="between">
      <formula>80.1</formula>
      <formula>100</formula>
    </cfRule>
    <cfRule type="cellIs" dxfId="10234" priority="3048" stopIfTrue="1" operator="between">
      <formula>35.1</formula>
      <formula>80</formula>
    </cfRule>
    <cfRule type="cellIs" dxfId="10233" priority="3049" stopIfTrue="1" operator="between">
      <formula>14.1</formula>
      <formula>35</formula>
    </cfRule>
    <cfRule type="cellIs" dxfId="10232" priority="3050" stopIfTrue="1" operator="between">
      <formula>5.1</formula>
      <formula>14</formula>
    </cfRule>
    <cfRule type="cellIs" dxfId="10231" priority="3051" stopIfTrue="1" operator="between">
      <formula>0</formula>
      <formula>5</formula>
    </cfRule>
    <cfRule type="containsBlanks" dxfId="10230" priority="3052" stopIfTrue="1">
      <formula>LEN(TRIM(Q99))=0</formula>
    </cfRule>
  </conditionalFormatting>
  <conditionalFormatting sqref="S99">
    <cfRule type="containsText" dxfId="10229" priority="3041" stopIfTrue="1" operator="containsText" text="INVIABLE SANITARIAMENTE">
      <formula>NOT(ISERROR(SEARCH("INVIABLE SANITARIAMENTE",S99)))</formula>
    </cfRule>
    <cfRule type="containsText" dxfId="10228" priority="3042" stopIfTrue="1" operator="containsText" text="ALTO">
      <formula>NOT(ISERROR(SEARCH("ALTO",S99)))</formula>
    </cfRule>
    <cfRule type="containsText" dxfId="10227" priority="3043" stopIfTrue="1" operator="containsText" text="MEDIO">
      <formula>NOT(ISERROR(SEARCH("MEDIO",S99)))</formula>
    </cfRule>
    <cfRule type="containsText" dxfId="10226" priority="3044" stopIfTrue="1" operator="containsText" text="BAJO">
      <formula>NOT(ISERROR(SEARCH("BAJO",S99)))</formula>
    </cfRule>
    <cfRule type="containsText" dxfId="10225" priority="3045" stopIfTrue="1" operator="containsText" text="SIN RIESGO">
      <formula>NOT(ISERROR(SEARCH("SIN RIESGO",S99)))</formula>
    </cfRule>
  </conditionalFormatting>
  <conditionalFormatting sqref="S99">
    <cfRule type="containsText" dxfId="10224" priority="3040" stopIfTrue="1" operator="containsText" text="SIN RIESGO">
      <formula>NOT(ISERROR(SEARCH("SIN RIESGO",S99)))</formula>
    </cfRule>
  </conditionalFormatting>
  <conditionalFormatting sqref="Q100">
    <cfRule type="containsBlanks" dxfId="10223" priority="3026" stopIfTrue="1">
      <formula>LEN(TRIM(Q100))=0</formula>
    </cfRule>
    <cfRule type="cellIs" dxfId="10222" priority="3027" stopIfTrue="1" operator="between">
      <formula>80.1</formula>
      <formula>100</formula>
    </cfRule>
    <cfRule type="cellIs" dxfId="10221" priority="3028" stopIfTrue="1" operator="between">
      <formula>35.1</formula>
      <formula>80</formula>
    </cfRule>
    <cfRule type="cellIs" dxfId="10220" priority="3029" stopIfTrue="1" operator="between">
      <formula>14.1</formula>
      <formula>35</formula>
    </cfRule>
    <cfRule type="cellIs" dxfId="10219" priority="3030" stopIfTrue="1" operator="between">
      <formula>5.1</formula>
      <formula>14</formula>
    </cfRule>
    <cfRule type="cellIs" dxfId="10218" priority="3031" stopIfTrue="1" operator="between">
      <formula>0</formula>
      <formula>5</formula>
    </cfRule>
    <cfRule type="containsBlanks" dxfId="10217" priority="3032" stopIfTrue="1">
      <formula>LEN(TRIM(Q100))=0</formula>
    </cfRule>
  </conditionalFormatting>
  <conditionalFormatting sqref="R100">
    <cfRule type="cellIs" dxfId="10216" priority="3025" stopIfTrue="1" operator="equal">
      <formula>"NO"</formula>
    </cfRule>
  </conditionalFormatting>
  <conditionalFormatting sqref="S100">
    <cfRule type="cellIs" dxfId="10215" priority="3024" stopIfTrue="1" operator="equal">
      <formula>"INVIABLE SANITARIAMENTE"</formula>
    </cfRule>
  </conditionalFormatting>
  <conditionalFormatting sqref="Q100">
    <cfRule type="containsBlanks" dxfId="10214" priority="3017" stopIfTrue="1">
      <formula>LEN(TRIM(Q100))=0</formula>
    </cfRule>
    <cfRule type="cellIs" dxfId="10213" priority="3018" stopIfTrue="1" operator="between">
      <formula>80.1</formula>
      <formula>100</formula>
    </cfRule>
    <cfRule type="cellIs" dxfId="10212" priority="3019" stopIfTrue="1" operator="between">
      <formula>35.1</formula>
      <formula>80</formula>
    </cfRule>
    <cfRule type="cellIs" dxfId="10211" priority="3020" stopIfTrue="1" operator="between">
      <formula>14.1</formula>
      <formula>35</formula>
    </cfRule>
    <cfRule type="cellIs" dxfId="10210" priority="3021" stopIfTrue="1" operator="between">
      <formula>5.1</formula>
      <formula>14</formula>
    </cfRule>
    <cfRule type="cellIs" dxfId="10209" priority="3022" stopIfTrue="1" operator="between">
      <formula>0</formula>
      <formula>5</formula>
    </cfRule>
    <cfRule type="containsBlanks" dxfId="10208" priority="3023" stopIfTrue="1">
      <formula>LEN(TRIM(Q100))=0</formula>
    </cfRule>
  </conditionalFormatting>
  <conditionalFormatting sqref="S100">
    <cfRule type="containsText" dxfId="10207" priority="3012" stopIfTrue="1" operator="containsText" text="INVIABLE SANITARIAMENTE">
      <formula>NOT(ISERROR(SEARCH("INVIABLE SANITARIAMENTE",S100)))</formula>
    </cfRule>
    <cfRule type="containsText" dxfId="10206" priority="3013" stopIfTrue="1" operator="containsText" text="ALTO">
      <formula>NOT(ISERROR(SEARCH("ALTO",S100)))</formula>
    </cfRule>
    <cfRule type="containsText" dxfId="10205" priority="3014" stopIfTrue="1" operator="containsText" text="MEDIO">
      <formula>NOT(ISERROR(SEARCH("MEDIO",S100)))</formula>
    </cfRule>
    <cfRule type="containsText" dxfId="10204" priority="3015" stopIfTrue="1" operator="containsText" text="BAJO">
      <formula>NOT(ISERROR(SEARCH("BAJO",S100)))</formula>
    </cfRule>
    <cfRule type="containsText" dxfId="10203" priority="3016" stopIfTrue="1" operator="containsText" text="SIN RIESGO">
      <formula>NOT(ISERROR(SEARCH("SIN RIESGO",S100)))</formula>
    </cfRule>
  </conditionalFormatting>
  <conditionalFormatting sqref="S100">
    <cfRule type="containsText" dxfId="10202" priority="3011" stopIfTrue="1" operator="containsText" text="SIN RIESGO">
      <formula>NOT(ISERROR(SEARCH("SIN RIESGO",S100)))</formula>
    </cfRule>
  </conditionalFormatting>
  <conditionalFormatting sqref="E101:P101">
    <cfRule type="containsBlanks" dxfId="10201" priority="3004" stopIfTrue="1">
      <formula>LEN(TRIM(E101))=0</formula>
    </cfRule>
    <cfRule type="cellIs" dxfId="10200" priority="3005" stopIfTrue="1" operator="between">
      <formula>79.1</formula>
      <formula>100</formula>
    </cfRule>
    <cfRule type="cellIs" dxfId="10199" priority="3006" stopIfTrue="1" operator="between">
      <formula>34.1</formula>
      <formula>79</formula>
    </cfRule>
    <cfRule type="cellIs" dxfId="10198" priority="3007" stopIfTrue="1" operator="between">
      <formula>13.1</formula>
      <formula>34</formula>
    </cfRule>
    <cfRule type="cellIs" dxfId="10197" priority="3008" stopIfTrue="1" operator="between">
      <formula>5.1</formula>
      <formula>13</formula>
    </cfRule>
    <cfRule type="cellIs" dxfId="10196" priority="3009" stopIfTrue="1" operator="between">
      <formula>0</formula>
      <formula>5</formula>
    </cfRule>
    <cfRule type="containsBlanks" dxfId="10195" priority="3010" stopIfTrue="1">
      <formula>LEN(TRIM(E101))=0</formula>
    </cfRule>
  </conditionalFormatting>
  <conditionalFormatting sqref="Q101">
    <cfRule type="containsBlanks" dxfId="10194" priority="2997" stopIfTrue="1">
      <formula>LEN(TRIM(Q101))=0</formula>
    </cfRule>
    <cfRule type="cellIs" dxfId="10193" priority="2998" stopIfTrue="1" operator="between">
      <formula>80.1</formula>
      <formula>100</formula>
    </cfRule>
    <cfRule type="cellIs" dxfId="10192" priority="2999" stopIfTrue="1" operator="between">
      <formula>35.1</formula>
      <formula>80</formula>
    </cfRule>
    <cfRule type="cellIs" dxfId="10191" priority="3000" stopIfTrue="1" operator="between">
      <formula>14.1</formula>
      <formula>35</formula>
    </cfRule>
    <cfRule type="cellIs" dxfId="10190" priority="3001" stopIfTrue="1" operator="between">
      <formula>5.1</formula>
      <formula>14</formula>
    </cfRule>
    <cfRule type="cellIs" dxfId="10189" priority="3002" stopIfTrue="1" operator="between">
      <formula>0</formula>
      <formula>5</formula>
    </cfRule>
    <cfRule type="containsBlanks" dxfId="10188" priority="3003" stopIfTrue="1">
      <formula>LEN(TRIM(Q101))=0</formula>
    </cfRule>
  </conditionalFormatting>
  <conditionalFormatting sqref="R101">
    <cfRule type="cellIs" dxfId="10187" priority="2996" stopIfTrue="1" operator="equal">
      <formula>"NO"</formula>
    </cfRule>
  </conditionalFormatting>
  <conditionalFormatting sqref="S101">
    <cfRule type="cellIs" dxfId="10186" priority="2995" stopIfTrue="1" operator="equal">
      <formula>"INVIABLE SANITARIAMENTE"</formula>
    </cfRule>
  </conditionalFormatting>
  <conditionalFormatting sqref="Q101">
    <cfRule type="containsBlanks" dxfId="10185" priority="2988" stopIfTrue="1">
      <formula>LEN(TRIM(Q101))=0</formula>
    </cfRule>
    <cfRule type="cellIs" dxfId="10184" priority="2989" stopIfTrue="1" operator="between">
      <formula>80.1</formula>
      <formula>100</formula>
    </cfRule>
    <cfRule type="cellIs" dxfId="10183" priority="2990" stopIfTrue="1" operator="between">
      <formula>35.1</formula>
      <formula>80</formula>
    </cfRule>
    <cfRule type="cellIs" dxfId="10182" priority="2991" stopIfTrue="1" operator="between">
      <formula>14.1</formula>
      <formula>35</formula>
    </cfRule>
    <cfRule type="cellIs" dxfId="10181" priority="2992" stopIfTrue="1" operator="between">
      <formula>5.1</formula>
      <formula>14</formula>
    </cfRule>
    <cfRule type="cellIs" dxfId="10180" priority="2993" stopIfTrue="1" operator="between">
      <formula>0</formula>
      <formula>5</formula>
    </cfRule>
    <cfRule type="containsBlanks" dxfId="10179" priority="2994" stopIfTrue="1">
      <formula>LEN(TRIM(Q101))=0</formula>
    </cfRule>
  </conditionalFormatting>
  <conditionalFormatting sqref="S101">
    <cfRule type="containsText" dxfId="10178" priority="2983" stopIfTrue="1" operator="containsText" text="INVIABLE SANITARIAMENTE">
      <formula>NOT(ISERROR(SEARCH("INVIABLE SANITARIAMENTE",S101)))</formula>
    </cfRule>
    <cfRule type="containsText" dxfId="10177" priority="2984" stopIfTrue="1" operator="containsText" text="ALTO">
      <formula>NOT(ISERROR(SEARCH("ALTO",S101)))</formula>
    </cfRule>
    <cfRule type="containsText" dxfId="10176" priority="2985" stopIfTrue="1" operator="containsText" text="MEDIO">
      <formula>NOT(ISERROR(SEARCH("MEDIO",S101)))</formula>
    </cfRule>
    <cfRule type="containsText" dxfId="10175" priority="2986" stopIfTrue="1" operator="containsText" text="BAJO">
      <formula>NOT(ISERROR(SEARCH("BAJO",S101)))</formula>
    </cfRule>
    <cfRule type="containsText" dxfId="10174" priority="2987" stopIfTrue="1" operator="containsText" text="SIN RIESGO">
      <formula>NOT(ISERROR(SEARCH("SIN RIESGO",S101)))</formula>
    </cfRule>
  </conditionalFormatting>
  <conditionalFormatting sqref="S101">
    <cfRule type="containsText" dxfId="10173" priority="2982" stopIfTrue="1" operator="containsText" text="SIN RIESGO">
      <formula>NOT(ISERROR(SEARCH("SIN RIESGO",S101)))</formula>
    </cfRule>
  </conditionalFormatting>
  <conditionalFormatting sqref="Q102">
    <cfRule type="containsBlanks" dxfId="10172" priority="2968" stopIfTrue="1">
      <formula>LEN(TRIM(Q102))=0</formula>
    </cfRule>
    <cfRule type="cellIs" dxfId="10171" priority="2969" stopIfTrue="1" operator="between">
      <formula>80.1</formula>
      <formula>100</formula>
    </cfRule>
    <cfRule type="cellIs" dxfId="10170" priority="2970" stopIfTrue="1" operator="between">
      <formula>35.1</formula>
      <formula>80</formula>
    </cfRule>
    <cfRule type="cellIs" dxfId="10169" priority="2971" stopIfTrue="1" operator="between">
      <formula>14.1</formula>
      <formula>35</formula>
    </cfRule>
    <cfRule type="cellIs" dxfId="10168" priority="2972" stopIfTrue="1" operator="between">
      <formula>5.1</formula>
      <formula>14</formula>
    </cfRule>
    <cfRule type="cellIs" dxfId="10167" priority="2973" stopIfTrue="1" operator="between">
      <formula>0</formula>
      <formula>5</formula>
    </cfRule>
    <cfRule type="containsBlanks" dxfId="10166" priority="2974" stopIfTrue="1">
      <formula>LEN(TRIM(Q102))=0</formula>
    </cfRule>
  </conditionalFormatting>
  <conditionalFormatting sqref="R102">
    <cfRule type="cellIs" dxfId="10165" priority="2967" stopIfTrue="1" operator="equal">
      <formula>"NO"</formula>
    </cfRule>
  </conditionalFormatting>
  <conditionalFormatting sqref="S102">
    <cfRule type="cellIs" dxfId="10164" priority="2966" stopIfTrue="1" operator="equal">
      <formula>"INVIABLE SANITARIAMENTE"</formula>
    </cfRule>
  </conditionalFormatting>
  <conditionalFormatting sqref="Q102">
    <cfRule type="containsBlanks" dxfId="10163" priority="2959" stopIfTrue="1">
      <formula>LEN(TRIM(Q102))=0</formula>
    </cfRule>
    <cfRule type="cellIs" dxfId="10162" priority="2960" stopIfTrue="1" operator="between">
      <formula>80.1</formula>
      <formula>100</formula>
    </cfRule>
    <cfRule type="cellIs" dxfId="10161" priority="2961" stopIfTrue="1" operator="between">
      <formula>35.1</formula>
      <formula>80</formula>
    </cfRule>
    <cfRule type="cellIs" dxfId="10160" priority="2962" stopIfTrue="1" operator="between">
      <formula>14.1</formula>
      <formula>35</formula>
    </cfRule>
    <cfRule type="cellIs" dxfId="10159" priority="2963" stopIfTrue="1" operator="between">
      <formula>5.1</formula>
      <formula>14</formula>
    </cfRule>
    <cfRule type="cellIs" dxfId="10158" priority="2964" stopIfTrue="1" operator="between">
      <formula>0</formula>
      <formula>5</formula>
    </cfRule>
    <cfRule type="containsBlanks" dxfId="10157" priority="2965" stopIfTrue="1">
      <formula>LEN(TRIM(Q102))=0</formula>
    </cfRule>
  </conditionalFormatting>
  <conditionalFormatting sqref="S102">
    <cfRule type="containsText" dxfId="10156" priority="2954" stopIfTrue="1" operator="containsText" text="INVIABLE SANITARIAMENTE">
      <formula>NOT(ISERROR(SEARCH("INVIABLE SANITARIAMENTE",S102)))</formula>
    </cfRule>
    <cfRule type="containsText" dxfId="10155" priority="2955" stopIfTrue="1" operator="containsText" text="ALTO">
      <formula>NOT(ISERROR(SEARCH("ALTO",S102)))</formula>
    </cfRule>
    <cfRule type="containsText" dxfId="10154" priority="2956" stopIfTrue="1" operator="containsText" text="MEDIO">
      <formula>NOT(ISERROR(SEARCH("MEDIO",S102)))</formula>
    </cfRule>
    <cfRule type="containsText" dxfId="10153" priority="2957" stopIfTrue="1" operator="containsText" text="BAJO">
      <formula>NOT(ISERROR(SEARCH("BAJO",S102)))</formula>
    </cfRule>
    <cfRule type="containsText" dxfId="10152" priority="2958" stopIfTrue="1" operator="containsText" text="SIN RIESGO">
      <formula>NOT(ISERROR(SEARCH("SIN RIESGO",S102)))</formula>
    </cfRule>
  </conditionalFormatting>
  <conditionalFormatting sqref="S102">
    <cfRule type="containsText" dxfId="10151" priority="2953" stopIfTrue="1" operator="containsText" text="SIN RIESGO">
      <formula>NOT(ISERROR(SEARCH("SIN RIESGO",S102)))</formula>
    </cfRule>
  </conditionalFormatting>
  <conditionalFormatting sqref="E103:P103">
    <cfRule type="containsBlanks" dxfId="10150" priority="2946" stopIfTrue="1">
      <formula>LEN(TRIM(E103))=0</formula>
    </cfRule>
    <cfRule type="cellIs" dxfId="10149" priority="2947" stopIfTrue="1" operator="between">
      <formula>79.1</formula>
      <formula>100</formula>
    </cfRule>
    <cfRule type="cellIs" dxfId="10148" priority="2948" stopIfTrue="1" operator="between">
      <formula>34.1</formula>
      <formula>79</formula>
    </cfRule>
    <cfRule type="cellIs" dxfId="10147" priority="2949" stopIfTrue="1" operator="between">
      <formula>13.1</formula>
      <formula>34</formula>
    </cfRule>
    <cfRule type="cellIs" dxfId="10146" priority="2950" stopIfTrue="1" operator="between">
      <formula>5.1</formula>
      <formula>13</formula>
    </cfRule>
    <cfRule type="cellIs" dxfId="10145" priority="2951" stopIfTrue="1" operator="between">
      <formula>0</formula>
      <formula>5</formula>
    </cfRule>
    <cfRule type="containsBlanks" dxfId="10144" priority="2952" stopIfTrue="1">
      <formula>LEN(TRIM(E103))=0</formula>
    </cfRule>
  </conditionalFormatting>
  <conditionalFormatting sqref="Q103">
    <cfRule type="containsBlanks" dxfId="10143" priority="2939" stopIfTrue="1">
      <formula>LEN(TRIM(Q103))=0</formula>
    </cfRule>
    <cfRule type="cellIs" dxfId="10142" priority="2940" stopIfTrue="1" operator="between">
      <formula>80.1</formula>
      <formula>100</formula>
    </cfRule>
    <cfRule type="cellIs" dxfId="10141" priority="2941" stopIfTrue="1" operator="between">
      <formula>35.1</formula>
      <formula>80</formula>
    </cfRule>
    <cfRule type="cellIs" dxfId="10140" priority="2942" stopIfTrue="1" operator="between">
      <formula>14.1</formula>
      <formula>35</formula>
    </cfRule>
    <cfRule type="cellIs" dxfId="10139" priority="2943" stopIfTrue="1" operator="between">
      <formula>5.1</formula>
      <formula>14</formula>
    </cfRule>
    <cfRule type="cellIs" dxfId="10138" priority="2944" stopIfTrue="1" operator="between">
      <formula>0</formula>
      <formula>5</formula>
    </cfRule>
    <cfRule type="containsBlanks" dxfId="10137" priority="2945" stopIfTrue="1">
      <formula>LEN(TRIM(Q103))=0</formula>
    </cfRule>
  </conditionalFormatting>
  <conditionalFormatting sqref="R103">
    <cfRule type="cellIs" dxfId="10136" priority="2938" stopIfTrue="1" operator="equal">
      <formula>"NO"</formula>
    </cfRule>
  </conditionalFormatting>
  <conditionalFormatting sqref="S103">
    <cfRule type="cellIs" dxfId="10135" priority="2937" stopIfTrue="1" operator="equal">
      <formula>"INVIABLE SANITARIAMENTE"</formula>
    </cfRule>
  </conditionalFormatting>
  <conditionalFormatting sqref="Q103">
    <cfRule type="containsBlanks" dxfId="10134" priority="2930" stopIfTrue="1">
      <formula>LEN(TRIM(Q103))=0</formula>
    </cfRule>
    <cfRule type="cellIs" dxfId="10133" priority="2931" stopIfTrue="1" operator="between">
      <formula>80.1</formula>
      <formula>100</formula>
    </cfRule>
    <cfRule type="cellIs" dxfId="10132" priority="2932" stopIfTrue="1" operator="between">
      <formula>35.1</formula>
      <formula>80</formula>
    </cfRule>
    <cfRule type="cellIs" dxfId="10131" priority="2933" stopIfTrue="1" operator="between">
      <formula>14.1</formula>
      <formula>35</formula>
    </cfRule>
    <cfRule type="cellIs" dxfId="10130" priority="2934" stopIfTrue="1" operator="between">
      <formula>5.1</formula>
      <formula>14</formula>
    </cfRule>
    <cfRule type="cellIs" dxfId="10129" priority="2935" stopIfTrue="1" operator="between">
      <formula>0</formula>
      <formula>5</formula>
    </cfRule>
    <cfRule type="containsBlanks" dxfId="10128" priority="2936" stopIfTrue="1">
      <formula>LEN(TRIM(Q103))=0</formula>
    </cfRule>
  </conditionalFormatting>
  <conditionalFormatting sqref="S103">
    <cfRule type="containsText" dxfId="10127" priority="2925" stopIfTrue="1" operator="containsText" text="INVIABLE SANITARIAMENTE">
      <formula>NOT(ISERROR(SEARCH("INVIABLE SANITARIAMENTE",S103)))</formula>
    </cfRule>
    <cfRule type="containsText" dxfId="10126" priority="2926" stopIfTrue="1" operator="containsText" text="ALTO">
      <formula>NOT(ISERROR(SEARCH("ALTO",S103)))</formula>
    </cfRule>
    <cfRule type="containsText" dxfId="10125" priority="2927" stopIfTrue="1" operator="containsText" text="MEDIO">
      <formula>NOT(ISERROR(SEARCH("MEDIO",S103)))</formula>
    </cfRule>
    <cfRule type="containsText" dxfId="10124" priority="2928" stopIfTrue="1" operator="containsText" text="BAJO">
      <formula>NOT(ISERROR(SEARCH("BAJO",S103)))</formula>
    </cfRule>
    <cfRule type="containsText" dxfId="10123" priority="2929" stopIfTrue="1" operator="containsText" text="SIN RIESGO">
      <formula>NOT(ISERROR(SEARCH("SIN RIESGO",S103)))</formula>
    </cfRule>
  </conditionalFormatting>
  <conditionalFormatting sqref="S103">
    <cfRule type="containsText" dxfId="10122" priority="2924" stopIfTrue="1" operator="containsText" text="SIN RIESGO">
      <formula>NOT(ISERROR(SEARCH("SIN RIESGO",S103)))</formula>
    </cfRule>
  </conditionalFormatting>
  <conditionalFormatting sqref="Q104">
    <cfRule type="containsBlanks" dxfId="10121" priority="2910" stopIfTrue="1">
      <formula>LEN(TRIM(Q104))=0</formula>
    </cfRule>
    <cfRule type="cellIs" dxfId="10120" priority="2911" stopIfTrue="1" operator="between">
      <formula>80.1</formula>
      <formula>100</formula>
    </cfRule>
    <cfRule type="cellIs" dxfId="10119" priority="2912" stopIfTrue="1" operator="between">
      <formula>35.1</formula>
      <formula>80</formula>
    </cfRule>
    <cfRule type="cellIs" dxfId="10118" priority="2913" stopIfTrue="1" operator="between">
      <formula>14.1</formula>
      <formula>35</formula>
    </cfRule>
    <cfRule type="cellIs" dxfId="10117" priority="2914" stopIfTrue="1" operator="between">
      <formula>5.1</formula>
      <formula>14</formula>
    </cfRule>
    <cfRule type="cellIs" dxfId="10116" priority="2915" stopIfTrue="1" operator="between">
      <formula>0</formula>
      <formula>5</formula>
    </cfRule>
    <cfRule type="containsBlanks" dxfId="10115" priority="2916" stopIfTrue="1">
      <formula>LEN(TRIM(Q104))=0</formula>
    </cfRule>
  </conditionalFormatting>
  <conditionalFormatting sqref="R104">
    <cfRule type="cellIs" dxfId="10114" priority="2909" stopIfTrue="1" operator="equal">
      <formula>"NO"</formula>
    </cfRule>
  </conditionalFormatting>
  <conditionalFormatting sqref="S104">
    <cfRule type="cellIs" dxfId="10113" priority="2908" stopIfTrue="1" operator="equal">
      <formula>"INVIABLE SANITARIAMENTE"</formula>
    </cfRule>
  </conditionalFormatting>
  <conditionalFormatting sqref="Q104">
    <cfRule type="containsBlanks" dxfId="10112" priority="2901" stopIfTrue="1">
      <formula>LEN(TRIM(Q104))=0</formula>
    </cfRule>
    <cfRule type="cellIs" dxfId="10111" priority="2902" stopIfTrue="1" operator="between">
      <formula>80.1</formula>
      <formula>100</formula>
    </cfRule>
    <cfRule type="cellIs" dxfId="10110" priority="2903" stopIfTrue="1" operator="between">
      <formula>35.1</formula>
      <formula>80</formula>
    </cfRule>
    <cfRule type="cellIs" dxfId="10109" priority="2904" stopIfTrue="1" operator="between">
      <formula>14.1</formula>
      <formula>35</formula>
    </cfRule>
    <cfRule type="cellIs" dxfId="10108" priority="2905" stopIfTrue="1" operator="between">
      <formula>5.1</formula>
      <formula>14</formula>
    </cfRule>
    <cfRule type="cellIs" dxfId="10107" priority="2906" stopIfTrue="1" operator="between">
      <formula>0</formula>
      <formula>5</formula>
    </cfRule>
    <cfRule type="containsBlanks" dxfId="10106" priority="2907" stopIfTrue="1">
      <formula>LEN(TRIM(Q104))=0</formula>
    </cfRule>
  </conditionalFormatting>
  <conditionalFormatting sqref="S104">
    <cfRule type="containsText" dxfId="10105" priority="2896" stopIfTrue="1" operator="containsText" text="INVIABLE SANITARIAMENTE">
      <formula>NOT(ISERROR(SEARCH("INVIABLE SANITARIAMENTE",S104)))</formula>
    </cfRule>
    <cfRule type="containsText" dxfId="10104" priority="2897" stopIfTrue="1" operator="containsText" text="ALTO">
      <formula>NOT(ISERROR(SEARCH("ALTO",S104)))</formula>
    </cfRule>
    <cfRule type="containsText" dxfId="10103" priority="2898" stopIfTrue="1" operator="containsText" text="MEDIO">
      <formula>NOT(ISERROR(SEARCH("MEDIO",S104)))</formula>
    </cfRule>
    <cfRule type="containsText" dxfId="10102" priority="2899" stopIfTrue="1" operator="containsText" text="BAJO">
      <formula>NOT(ISERROR(SEARCH("BAJO",S104)))</formula>
    </cfRule>
    <cfRule type="containsText" dxfId="10101" priority="2900" stopIfTrue="1" operator="containsText" text="SIN RIESGO">
      <formula>NOT(ISERROR(SEARCH("SIN RIESGO",S104)))</formula>
    </cfRule>
  </conditionalFormatting>
  <conditionalFormatting sqref="S104">
    <cfRule type="containsText" dxfId="10100" priority="2895" stopIfTrue="1" operator="containsText" text="SIN RIESGO">
      <formula>NOT(ISERROR(SEARCH("SIN RIESGO",S104)))</formula>
    </cfRule>
  </conditionalFormatting>
  <conditionalFormatting sqref="E131:P131">
    <cfRule type="containsBlanks" dxfId="10099" priority="2888" stopIfTrue="1">
      <formula>LEN(TRIM(E131))=0</formula>
    </cfRule>
    <cfRule type="cellIs" dxfId="10098" priority="2889" stopIfTrue="1" operator="between">
      <formula>79.1</formula>
      <formula>100</formula>
    </cfRule>
    <cfRule type="cellIs" dxfId="10097" priority="2890" stopIfTrue="1" operator="between">
      <formula>34.1</formula>
      <formula>79</formula>
    </cfRule>
    <cfRule type="cellIs" dxfId="10096" priority="2891" stopIfTrue="1" operator="between">
      <formula>13.1</formula>
      <formula>34</formula>
    </cfRule>
    <cfRule type="cellIs" dxfId="10095" priority="2892" stopIfTrue="1" operator="between">
      <formula>5.1</formula>
      <formula>13</formula>
    </cfRule>
    <cfRule type="cellIs" dxfId="10094" priority="2893" stopIfTrue="1" operator="between">
      <formula>0</formula>
      <formula>5</formula>
    </cfRule>
    <cfRule type="containsBlanks" dxfId="10093" priority="2894" stopIfTrue="1">
      <formula>LEN(TRIM(E131))=0</formula>
    </cfRule>
  </conditionalFormatting>
  <conditionalFormatting sqref="Q131">
    <cfRule type="containsBlanks" dxfId="10092" priority="2881" stopIfTrue="1">
      <formula>LEN(TRIM(Q131))=0</formula>
    </cfRule>
    <cfRule type="cellIs" dxfId="10091" priority="2882" stopIfTrue="1" operator="between">
      <formula>80.1</formula>
      <formula>100</formula>
    </cfRule>
    <cfRule type="cellIs" dxfId="10090" priority="2883" stopIfTrue="1" operator="between">
      <formula>35.1</formula>
      <formula>80</formula>
    </cfRule>
    <cfRule type="cellIs" dxfId="10089" priority="2884" stopIfTrue="1" operator="between">
      <formula>14.1</formula>
      <formula>35</formula>
    </cfRule>
    <cfRule type="cellIs" dxfId="10088" priority="2885" stopIfTrue="1" operator="between">
      <formula>5.1</formula>
      <formula>14</formula>
    </cfRule>
    <cfRule type="cellIs" dxfId="10087" priority="2886" stopIfTrue="1" operator="between">
      <formula>0</formula>
      <formula>5</formula>
    </cfRule>
    <cfRule type="containsBlanks" dxfId="10086" priority="2887" stopIfTrue="1">
      <formula>LEN(TRIM(Q131))=0</formula>
    </cfRule>
  </conditionalFormatting>
  <conditionalFormatting sqref="R131">
    <cfRule type="cellIs" dxfId="10085" priority="2880" stopIfTrue="1" operator="equal">
      <formula>"NO"</formula>
    </cfRule>
  </conditionalFormatting>
  <conditionalFormatting sqref="S131">
    <cfRule type="cellIs" dxfId="10084" priority="2879" stopIfTrue="1" operator="equal">
      <formula>"INVIABLE SANITARIAMENTE"</formula>
    </cfRule>
  </conditionalFormatting>
  <conditionalFormatting sqref="Q131">
    <cfRule type="containsBlanks" dxfId="10083" priority="2872" stopIfTrue="1">
      <formula>LEN(TRIM(Q131))=0</formula>
    </cfRule>
    <cfRule type="cellIs" dxfId="10082" priority="2873" stopIfTrue="1" operator="between">
      <formula>80.1</formula>
      <formula>100</formula>
    </cfRule>
    <cfRule type="cellIs" dxfId="10081" priority="2874" stopIfTrue="1" operator="between">
      <formula>35.1</formula>
      <formula>80</formula>
    </cfRule>
    <cfRule type="cellIs" dxfId="10080" priority="2875" stopIfTrue="1" operator="between">
      <formula>14.1</formula>
      <formula>35</formula>
    </cfRule>
    <cfRule type="cellIs" dxfId="10079" priority="2876" stopIfTrue="1" operator="between">
      <formula>5.1</formula>
      <formula>14</formula>
    </cfRule>
    <cfRule type="cellIs" dxfId="10078" priority="2877" stopIfTrue="1" operator="between">
      <formula>0</formula>
      <formula>5</formula>
    </cfRule>
    <cfRule type="containsBlanks" dxfId="10077" priority="2878" stopIfTrue="1">
      <formula>LEN(TRIM(Q131))=0</formula>
    </cfRule>
  </conditionalFormatting>
  <conditionalFormatting sqref="S131">
    <cfRule type="containsText" dxfId="10076" priority="2867" stopIfTrue="1" operator="containsText" text="INVIABLE SANITARIAMENTE">
      <formula>NOT(ISERROR(SEARCH("INVIABLE SANITARIAMENTE",S131)))</formula>
    </cfRule>
    <cfRule type="containsText" dxfId="10075" priority="2868" stopIfTrue="1" operator="containsText" text="ALTO">
      <formula>NOT(ISERROR(SEARCH("ALTO",S131)))</formula>
    </cfRule>
    <cfRule type="containsText" dxfId="10074" priority="2869" stopIfTrue="1" operator="containsText" text="MEDIO">
      <formula>NOT(ISERROR(SEARCH("MEDIO",S131)))</formula>
    </cfRule>
    <cfRule type="containsText" dxfId="10073" priority="2870" stopIfTrue="1" operator="containsText" text="BAJO">
      <formula>NOT(ISERROR(SEARCH("BAJO",S131)))</formula>
    </cfRule>
    <cfRule type="containsText" dxfId="10072" priority="2871" stopIfTrue="1" operator="containsText" text="SIN RIESGO">
      <formula>NOT(ISERROR(SEARCH("SIN RIESGO",S131)))</formula>
    </cfRule>
  </conditionalFormatting>
  <conditionalFormatting sqref="S131">
    <cfRule type="containsText" dxfId="10071" priority="2866" stopIfTrue="1" operator="containsText" text="SIN RIESGO">
      <formula>NOT(ISERROR(SEARCH("SIN RIESGO",S131)))</formula>
    </cfRule>
  </conditionalFormatting>
  <conditionalFormatting sqref="N192">
    <cfRule type="containsBlanks" dxfId="10070" priority="1736" stopIfTrue="1">
      <formula>LEN(TRIM(N192))=0</formula>
    </cfRule>
    <cfRule type="cellIs" dxfId="10069" priority="1737" stopIfTrue="1" operator="between">
      <formula>79.1</formula>
      <formula>100</formula>
    </cfRule>
    <cfRule type="cellIs" dxfId="10068" priority="1738" stopIfTrue="1" operator="between">
      <formula>34.1</formula>
      <formula>79</formula>
    </cfRule>
    <cfRule type="cellIs" dxfId="10067" priority="1739" stopIfTrue="1" operator="between">
      <formula>13.1</formula>
      <formula>34</formula>
    </cfRule>
    <cfRule type="cellIs" dxfId="10066" priority="1740" stopIfTrue="1" operator="between">
      <formula>5.1</formula>
      <formula>13</formula>
    </cfRule>
    <cfRule type="cellIs" dxfId="10065" priority="1741" stopIfTrue="1" operator="between">
      <formula>0</formula>
      <formula>5</formula>
    </cfRule>
    <cfRule type="containsBlanks" dxfId="10064" priority="1742" stopIfTrue="1">
      <formula>LEN(TRIM(N192))=0</formula>
    </cfRule>
  </conditionalFormatting>
  <conditionalFormatting sqref="Q160">
    <cfRule type="containsBlanks" dxfId="10063" priority="2852" stopIfTrue="1">
      <formula>LEN(TRIM(Q160))=0</formula>
    </cfRule>
    <cfRule type="cellIs" dxfId="10062" priority="2853" stopIfTrue="1" operator="between">
      <formula>80.1</formula>
      <formula>100</formula>
    </cfRule>
    <cfRule type="cellIs" dxfId="10061" priority="2854" stopIfTrue="1" operator="between">
      <formula>35.1</formula>
      <formula>80</formula>
    </cfRule>
    <cfRule type="cellIs" dxfId="10060" priority="2855" stopIfTrue="1" operator="between">
      <formula>14.1</formula>
      <formula>35</formula>
    </cfRule>
    <cfRule type="cellIs" dxfId="10059" priority="2856" stopIfTrue="1" operator="between">
      <formula>5.1</formula>
      <formula>14</formula>
    </cfRule>
    <cfRule type="cellIs" dxfId="10058" priority="2857" stopIfTrue="1" operator="between">
      <formula>0</formula>
      <formula>5</formula>
    </cfRule>
    <cfRule type="containsBlanks" dxfId="10057" priority="2858" stopIfTrue="1">
      <formula>LEN(TRIM(Q160))=0</formula>
    </cfRule>
  </conditionalFormatting>
  <conditionalFormatting sqref="R160">
    <cfRule type="cellIs" dxfId="10056" priority="2851" stopIfTrue="1" operator="equal">
      <formula>"NO"</formula>
    </cfRule>
  </conditionalFormatting>
  <conditionalFormatting sqref="S160">
    <cfRule type="cellIs" dxfId="10055" priority="2850" stopIfTrue="1" operator="equal">
      <formula>"INVIABLE SANITARIAMENTE"</formula>
    </cfRule>
  </conditionalFormatting>
  <conditionalFormatting sqref="Q160">
    <cfRule type="containsBlanks" dxfId="10054" priority="2843" stopIfTrue="1">
      <formula>LEN(TRIM(Q160))=0</formula>
    </cfRule>
    <cfRule type="cellIs" dxfId="10053" priority="2844" stopIfTrue="1" operator="between">
      <formula>80.1</formula>
      <formula>100</formula>
    </cfRule>
    <cfRule type="cellIs" dxfId="10052" priority="2845" stopIfTrue="1" operator="between">
      <formula>35.1</formula>
      <formula>80</formula>
    </cfRule>
    <cfRule type="cellIs" dxfId="10051" priority="2846" stopIfTrue="1" operator="between">
      <formula>14.1</formula>
      <formula>35</formula>
    </cfRule>
    <cfRule type="cellIs" dxfId="10050" priority="2847" stopIfTrue="1" operator="between">
      <formula>5.1</formula>
      <formula>14</formula>
    </cfRule>
    <cfRule type="cellIs" dxfId="10049" priority="2848" stopIfTrue="1" operator="between">
      <formula>0</formula>
      <formula>5</formula>
    </cfRule>
    <cfRule type="containsBlanks" dxfId="10048" priority="2849" stopIfTrue="1">
      <formula>LEN(TRIM(Q160))=0</formula>
    </cfRule>
  </conditionalFormatting>
  <conditionalFormatting sqref="S160">
    <cfRule type="containsText" dxfId="10047" priority="2838" stopIfTrue="1" operator="containsText" text="INVIABLE SANITARIAMENTE">
      <formula>NOT(ISERROR(SEARCH("INVIABLE SANITARIAMENTE",S160)))</formula>
    </cfRule>
    <cfRule type="containsText" dxfId="10046" priority="2839" stopIfTrue="1" operator="containsText" text="ALTO">
      <formula>NOT(ISERROR(SEARCH("ALTO",S160)))</formula>
    </cfRule>
    <cfRule type="containsText" dxfId="10045" priority="2840" stopIfTrue="1" operator="containsText" text="MEDIO">
      <formula>NOT(ISERROR(SEARCH("MEDIO",S160)))</formula>
    </cfRule>
    <cfRule type="containsText" dxfId="10044" priority="2841" stopIfTrue="1" operator="containsText" text="BAJO">
      <formula>NOT(ISERROR(SEARCH("BAJO",S160)))</formula>
    </cfRule>
    <cfRule type="containsText" dxfId="10043" priority="2842" stopIfTrue="1" operator="containsText" text="SIN RIESGO">
      <formula>NOT(ISERROR(SEARCH("SIN RIESGO",S160)))</formula>
    </cfRule>
  </conditionalFormatting>
  <conditionalFormatting sqref="S160">
    <cfRule type="containsText" dxfId="10042" priority="2837" stopIfTrue="1" operator="containsText" text="SIN RIESGO">
      <formula>NOT(ISERROR(SEARCH("SIN RIESGO",S160)))</formula>
    </cfRule>
  </conditionalFormatting>
  <conditionalFormatting sqref="L191">
    <cfRule type="containsBlanks" dxfId="10041" priority="1757" stopIfTrue="1">
      <formula>LEN(TRIM(L191))=0</formula>
    </cfRule>
    <cfRule type="cellIs" dxfId="10040" priority="1758" stopIfTrue="1" operator="between">
      <formula>79.1</formula>
      <formula>100</formula>
    </cfRule>
    <cfRule type="cellIs" dxfId="10039" priority="1759" stopIfTrue="1" operator="between">
      <formula>34.1</formula>
      <formula>79</formula>
    </cfRule>
    <cfRule type="cellIs" dxfId="10038" priority="1760" stopIfTrue="1" operator="between">
      <formula>13.1</formula>
      <formula>34</formula>
    </cfRule>
    <cfRule type="cellIs" dxfId="10037" priority="1761" stopIfTrue="1" operator="between">
      <formula>5.1</formula>
      <formula>13</formula>
    </cfRule>
    <cfRule type="cellIs" dxfId="10036" priority="1762" stopIfTrue="1" operator="between">
      <formula>0</formula>
      <formula>5</formula>
    </cfRule>
    <cfRule type="containsBlanks" dxfId="10035" priority="1763" stopIfTrue="1">
      <formula>LEN(TRIM(L191))=0</formula>
    </cfRule>
  </conditionalFormatting>
  <conditionalFormatting sqref="Q162">
    <cfRule type="containsBlanks" dxfId="10034" priority="2823" stopIfTrue="1">
      <formula>LEN(TRIM(Q162))=0</formula>
    </cfRule>
    <cfRule type="cellIs" dxfId="10033" priority="2824" stopIfTrue="1" operator="between">
      <formula>80.1</formula>
      <formula>100</formula>
    </cfRule>
    <cfRule type="cellIs" dxfId="10032" priority="2825" stopIfTrue="1" operator="between">
      <formula>35.1</formula>
      <formula>80</formula>
    </cfRule>
    <cfRule type="cellIs" dxfId="10031" priority="2826" stopIfTrue="1" operator="between">
      <formula>14.1</formula>
      <formula>35</formula>
    </cfRule>
    <cfRule type="cellIs" dxfId="10030" priority="2827" stopIfTrue="1" operator="between">
      <formula>5.1</formula>
      <formula>14</formula>
    </cfRule>
    <cfRule type="cellIs" dxfId="10029" priority="2828" stopIfTrue="1" operator="between">
      <formula>0</formula>
      <formula>5</formula>
    </cfRule>
    <cfRule type="containsBlanks" dxfId="10028" priority="2829" stopIfTrue="1">
      <formula>LEN(TRIM(Q162))=0</formula>
    </cfRule>
  </conditionalFormatting>
  <conditionalFormatting sqref="R162">
    <cfRule type="cellIs" dxfId="10027" priority="2822" stopIfTrue="1" operator="equal">
      <formula>"NO"</formula>
    </cfRule>
  </conditionalFormatting>
  <conditionalFormatting sqref="S162">
    <cfRule type="cellIs" dxfId="10026" priority="2821" stopIfTrue="1" operator="equal">
      <formula>"INVIABLE SANITARIAMENTE"</formula>
    </cfRule>
  </conditionalFormatting>
  <conditionalFormatting sqref="Q162">
    <cfRule type="containsBlanks" dxfId="10025" priority="2814" stopIfTrue="1">
      <formula>LEN(TRIM(Q162))=0</formula>
    </cfRule>
    <cfRule type="cellIs" dxfId="10024" priority="2815" stopIfTrue="1" operator="between">
      <formula>80.1</formula>
      <formula>100</formula>
    </cfRule>
    <cfRule type="cellIs" dxfId="10023" priority="2816" stopIfTrue="1" operator="between">
      <formula>35.1</formula>
      <formula>80</formula>
    </cfRule>
    <cfRule type="cellIs" dxfId="10022" priority="2817" stopIfTrue="1" operator="between">
      <formula>14.1</formula>
      <formula>35</formula>
    </cfRule>
    <cfRule type="cellIs" dxfId="10021" priority="2818" stopIfTrue="1" operator="between">
      <formula>5.1</formula>
      <formula>14</formula>
    </cfRule>
    <cfRule type="cellIs" dxfId="10020" priority="2819" stopIfTrue="1" operator="between">
      <formula>0</formula>
      <formula>5</formula>
    </cfRule>
    <cfRule type="containsBlanks" dxfId="10019" priority="2820" stopIfTrue="1">
      <formula>LEN(TRIM(Q162))=0</formula>
    </cfRule>
  </conditionalFormatting>
  <conditionalFormatting sqref="S162">
    <cfRule type="containsText" dxfId="10018" priority="2809" stopIfTrue="1" operator="containsText" text="INVIABLE SANITARIAMENTE">
      <formula>NOT(ISERROR(SEARCH("INVIABLE SANITARIAMENTE",S162)))</formula>
    </cfRule>
    <cfRule type="containsText" dxfId="10017" priority="2810" stopIfTrue="1" operator="containsText" text="ALTO">
      <formula>NOT(ISERROR(SEARCH("ALTO",S162)))</formula>
    </cfRule>
    <cfRule type="containsText" dxfId="10016" priority="2811" stopIfTrue="1" operator="containsText" text="MEDIO">
      <formula>NOT(ISERROR(SEARCH("MEDIO",S162)))</formula>
    </cfRule>
    <cfRule type="containsText" dxfId="10015" priority="2812" stopIfTrue="1" operator="containsText" text="BAJO">
      <formula>NOT(ISERROR(SEARCH("BAJO",S162)))</formula>
    </cfRule>
    <cfRule type="containsText" dxfId="10014" priority="2813" stopIfTrue="1" operator="containsText" text="SIN RIESGO">
      <formula>NOT(ISERROR(SEARCH("SIN RIESGO",S162)))</formula>
    </cfRule>
  </conditionalFormatting>
  <conditionalFormatting sqref="S162">
    <cfRule type="containsText" dxfId="10013" priority="2808" stopIfTrue="1" operator="containsText" text="SIN RIESGO">
      <formula>NOT(ISERROR(SEARCH("SIN RIESGO",S162)))</formula>
    </cfRule>
  </conditionalFormatting>
  <conditionalFormatting sqref="Q163">
    <cfRule type="containsBlanks" dxfId="10012" priority="2794" stopIfTrue="1">
      <formula>LEN(TRIM(Q163))=0</formula>
    </cfRule>
    <cfRule type="cellIs" dxfId="10011" priority="2795" stopIfTrue="1" operator="between">
      <formula>80.1</formula>
      <formula>100</formula>
    </cfRule>
    <cfRule type="cellIs" dxfId="10010" priority="2796" stopIfTrue="1" operator="between">
      <formula>35.1</formula>
      <formula>80</formula>
    </cfRule>
    <cfRule type="cellIs" dxfId="10009" priority="2797" stopIfTrue="1" operator="between">
      <formula>14.1</formula>
      <formula>35</formula>
    </cfRule>
    <cfRule type="cellIs" dxfId="10008" priority="2798" stopIfTrue="1" operator="between">
      <formula>5.1</formula>
      <formula>14</formula>
    </cfRule>
    <cfRule type="cellIs" dxfId="10007" priority="2799" stopIfTrue="1" operator="between">
      <formula>0</formula>
      <formula>5</formula>
    </cfRule>
    <cfRule type="containsBlanks" dxfId="10006" priority="2800" stopIfTrue="1">
      <formula>LEN(TRIM(Q163))=0</formula>
    </cfRule>
  </conditionalFormatting>
  <conditionalFormatting sqref="R163">
    <cfRule type="cellIs" dxfId="10005" priority="2793" stopIfTrue="1" operator="equal">
      <formula>"NO"</formula>
    </cfRule>
  </conditionalFormatting>
  <conditionalFormatting sqref="S163">
    <cfRule type="cellIs" dxfId="10004" priority="2792" stopIfTrue="1" operator="equal">
      <formula>"INVIABLE SANITARIAMENTE"</formula>
    </cfRule>
  </conditionalFormatting>
  <conditionalFormatting sqref="Q163">
    <cfRule type="containsBlanks" dxfId="10003" priority="2785" stopIfTrue="1">
      <formula>LEN(TRIM(Q163))=0</formula>
    </cfRule>
    <cfRule type="cellIs" dxfId="10002" priority="2786" stopIfTrue="1" operator="between">
      <formula>80.1</formula>
      <formula>100</formula>
    </cfRule>
    <cfRule type="cellIs" dxfId="10001" priority="2787" stopIfTrue="1" operator="between">
      <formula>35.1</formula>
      <formula>80</formula>
    </cfRule>
    <cfRule type="cellIs" dxfId="10000" priority="2788" stopIfTrue="1" operator="between">
      <formula>14.1</formula>
      <formula>35</formula>
    </cfRule>
    <cfRule type="cellIs" dxfId="9999" priority="2789" stopIfTrue="1" operator="between">
      <formula>5.1</formula>
      <formula>14</formula>
    </cfRule>
    <cfRule type="cellIs" dxfId="9998" priority="2790" stopIfTrue="1" operator="between">
      <formula>0</formula>
      <formula>5</formula>
    </cfRule>
    <cfRule type="containsBlanks" dxfId="9997" priority="2791" stopIfTrue="1">
      <formula>LEN(TRIM(Q163))=0</formula>
    </cfRule>
  </conditionalFormatting>
  <conditionalFormatting sqref="S163">
    <cfRule type="containsText" dxfId="9996" priority="2780" stopIfTrue="1" operator="containsText" text="INVIABLE SANITARIAMENTE">
      <formula>NOT(ISERROR(SEARCH("INVIABLE SANITARIAMENTE",S163)))</formula>
    </cfRule>
    <cfRule type="containsText" dxfId="9995" priority="2781" stopIfTrue="1" operator="containsText" text="ALTO">
      <formula>NOT(ISERROR(SEARCH("ALTO",S163)))</formula>
    </cfRule>
    <cfRule type="containsText" dxfId="9994" priority="2782" stopIfTrue="1" operator="containsText" text="MEDIO">
      <formula>NOT(ISERROR(SEARCH("MEDIO",S163)))</formula>
    </cfRule>
    <cfRule type="containsText" dxfId="9993" priority="2783" stopIfTrue="1" operator="containsText" text="BAJO">
      <formula>NOT(ISERROR(SEARCH("BAJO",S163)))</formula>
    </cfRule>
    <cfRule type="containsText" dxfId="9992" priority="2784" stopIfTrue="1" operator="containsText" text="SIN RIESGO">
      <formula>NOT(ISERROR(SEARCH("SIN RIESGO",S163)))</formula>
    </cfRule>
  </conditionalFormatting>
  <conditionalFormatting sqref="S163">
    <cfRule type="containsText" dxfId="9991" priority="2779" stopIfTrue="1" operator="containsText" text="SIN RIESGO">
      <formula>NOT(ISERROR(SEARCH("SIN RIESGO",S163)))</formula>
    </cfRule>
  </conditionalFormatting>
  <conditionalFormatting sqref="Q249">
    <cfRule type="containsBlanks" dxfId="9990" priority="2772" stopIfTrue="1">
      <formula>LEN(TRIM(Q249))=0</formula>
    </cfRule>
    <cfRule type="cellIs" dxfId="9989" priority="2773" stopIfTrue="1" operator="between">
      <formula>80.1</formula>
      <formula>100</formula>
    </cfRule>
    <cfRule type="cellIs" dxfId="9988" priority="2774" stopIfTrue="1" operator="between">
      <formula>35.1</formula>
      <formula>80</formula>
    </cfRule>
    <cfRule type="cellIs" dxfId="9987" priority="2775" stopIfTrue="1" operator="between">
      <formula>14.1</formula>
      <formula>35</formula>
    </cfRule>
    <cfRule type="cellIs" dxfId="9986" priority="2776" stopIfTrue="1" operator="between">
      <formula>5.1</formula>
      <formula>14</formula>
    </cfRule>
    <cfRule type="cellIs" dxfId="9985" priority="2777" stopIfTrue="1" operator="between">
      <formula>0</formula>
      <formula>5</formula>
    </cfRule>
    <cfRule type="containsBlanks" dxfId="9984" priority="2778" stopIfTrue="1">
      <formula>LEN(TRIM(Q249))=0</formula>
    </cfRule>
  </conditionalFormatting>
  <conditionalFormatting sqref="R249">
    <cfRule type="cellIs" dxfId="9983" priority="2771" stopIfTrue="1" operator="equal">
      <formula>"NO"</formula>
    </cfRule>
  </conditionalFormatting>
  <conditionalFormatting sqref="S249">
    <cfRule type="cellIs" dxfId="9982" priority="2770" stopIfTrue="1" operator="equal">
      <formula>"INVIABLE SANITARIAMENTE"</formula>
    </cfRule>
  </conditionalFormatting>
  <conditionalFormatting sqref="Q249">
    <cfRule type="containsBlanks" dxfId="9981" priority="2763" stopIfTrue="1">
      <formula>LEN(TRIM(Q249))=0</formula>
    </cfRule>
    <cfRule type="cellIs" dxfId="9980" priority="2764" stopIfTrue="1" operator="between">
      <formula>80.1</formula>
      <formula>100</formula>
    </cfRule>
    <cfRule type="cellIs" dxfId="9979" priority="2765" stopIfTrue="1" operator="between">
      <formula>35.1</formula>
      <formula>80</formula>
    </cfRule>
    <cfRule type="cellIs" dxfId="9978" priority="2766" stopIfTrue="1" operator="between">
      <formula>14.1</formula>
      <formula>35</formula>
    </cfRule>
    <cfRule type="cellIs" dxfId="9977" priority="2767" stopIfTrue="1" operator="between">
      <formula>5.1</formula>
      <formula>14</formula>
    </cfRule>
    <cfRule type="cellIs" dxfId="9976" priority="2768" stopIfTrue="1" operator="between">
      <formula>0</formula>
      <formula>5</formula>
    </cfRule>
    <cfRule type="containsBlanks" dxfId="9975" priority="2769" stopIfTrue="1">
      <formula>LEN(TRIM(Q249))=0</formula>
    </cfRule>
  </conditionalFormatting>
  <conditionalFormatting sqref="S249">
    <cfRule type="containsText" dxfId="9974" priority="2758" stopIfTrue="1" operator="containsText" text="INVIABLE SANITARIAMENTE">
      <formula>NOT(ISERROR(SEARCH("INVIABLE SANITARIAMENTE",S249)))</formula>
    </cfRule>
    <cfRule type="containsText" dxfId="9973" priority="2759" stopIfTrue="1" operator="containsText" text="ALTO">
      <formula>NOT(ISERROR(SEARCH("ALTO",S249)))</formula>
    </cfRule>
    <cfRule type="containsText" dxfId="9972" priority="2760" stopIfTrue="1" operator="containsText" text="MEDIO">
      <formula>NOT(ISERROR(SEARCH("MEDIO",S249)))</formula>
    </cfRule>
    <cfRule type="containsText" dxfId="9971" priority="2761" stopIfTrue="1" operator="containsText" text="BAJO">
      <formula>NOT(ISERROR(SEARCH("BAJO",S249)))</formula>
    </cfRule>
    <cfRule type="containsText" dxfId="9970" priority="2762" stopIfTrue="1" operator="containsText" text="SIN RIESGO">
      <formula>NOT(ISERROR(SEARCH("SIN RIESGO",S249)))</formula>
    </cfRule>
  </conditionalFormatting>
  <conditionalFormatting sqref="S249">
    <cfRule type="containsText" dxfId="9969" priority="2757" stopIfTrue="1" operator="containsText" text="SIN RIESGO">
      <formula>NOT(ISERROR(SEARCH("SIN RIESGO",S249)))</formula>
    </cfRule>
  </conditionalFormatting>
  <conditionalFormatting sqref="E250:Q250">
    <cfRule type="containsBlanks" dxfId="9968" priority="2750" stopIfTrue="1">
      <formula>LEN(TRIM(E250))=0</formula>
    </cfRule>
    <cfRule type="cellIs" dxfId="9967" priority="2751" stopIfTrue="1" operator="between">
      <formula>80.1</formula>
      <formula>100</formula>
    </cfRule>
    <cfRule type="cellIs" dxfId="9966" priority="2752" stopIfTrue="1" operator="between">
      <formula>35.1</formula>
      <formula>80</formula>
    </cfRule>
    <cfRule type="cellIs" dxfId="9965" priority="2753" stopIfTrue="1" operator="between">
      <formula>14.1</formula>
      <formula>35</formula>
    </cfRule>
    <cfRule type="cellIs" dxfId="9964" priority="2754" stopIfTrue="1" operator="between">
      <formula>5.1</formula>
      <formula>14</formula>
    </cfRule>
    <cfRule type="cellIs" dxfId="9963" priority="2755" stopIfTrue="1" operator="between">
      <formula>0</formula>
      <formula>5</formula>
    </cfRule>
    <cfRule type="containsBlanks" dxfId="9962" priority="2756" stopIfTrue="1">
      <formula>LEN(TRIM(E250))=0</formula>
    </cfRule>
  </conditionalFormatting>
  <conditionalFormatting sqref="R250">
    <cfRule type="cellIs" dxfId="9961" priority="2749" stopIfTrue="1" operator="equal">
      <formula>"NO"</formula>
    </cfRule>
  </conditionalFormatting>
  <conditionalFormatting sqref="S250">
    <cfRule type="cellIs" dxfId="9960" priority="2748" stopIfTrue="1" operator="equal">
      <formula>"INVIABLE SANITARIAMENTE"</formula>
    </cfRule>
  </conditionalFormatting>
  <conditionalFormatting sqref="Q250">
    <cfRule type="containsBlanks" dxfId="9959" priority="2741" stopIfTrue="1">
      <formula>LEN(TRIM(Q250))=0</formula>
    </cfRule>
    <cfRule type="cellIs" dxfId="9958" priority="2742" stopIfTrue="1" operator="between">
      <formula>80.1</formula>
      <formula>100</formula>
    </cfRule>
    <cfRule type="cellIs" dxfId="9957" priority="2743" stopIfTrue="1" operator="between">
      <formula>35.1</formula>
      <formula>80</formula>
    </cfRule>
    <cfRule type="cellIs" dxfId="9956" priority="2744" stopIfTrue="1" operator="between">
      <formula>14.1</formula>
      <formula>35</formula>
    </cfRule>
    <cfRule type="cellIs" dxfId="9955" priority="2745" stopIfTrue="1" operator="between">
      <formula>5.1</formula>
      <formula>14</formula>
    </cfRule>
    <cfRule type="cellIs" dxfId="9954" priority="2746" stopIfTrue="1" operator="between">
      <formula>0</formula>
      <formula>5</formula>
    </cfRule>
    <cfRule type="containsBlanks" dxfId="9953" priority="2747" stopIfTrue="1">
      <formula>LEN(TRIM(Q250))=0</formula>
    </cfRule>
  </conditionalFormatting>
  <conditionalFormatting sqref="S250">
    <cfRule type="containsText" dxfId="9952" priority="2736" stopIfTrue="1" operator="containsText" text="INVIABLE SANITARIAMENTE">
      <formula>NOT(ISERROR(SEARCH("INVIABLE SANITARIAMENTE",S250)))</formula>
    </cfRule>
    <cfRule type="containsText" dxfId="9951" priority="2737" stopIfTrue="1" operator="containsText" text="ALTO">
      <formula>NOT(ISERROR(SEARCH("ALTO",S250)))</formula>
    </cfRule>
    <cfRule type="containsText" dxfId="9950" priority="2738" stopIfTrue="1" operator="containsText" text="MEDIO">
      <formula>NOT(ISERROR(SEARCH("MEDIO",S250)))</formula>
    </cfRule>
    <cfRule type="containsText" dxfId="9949" priority="2739" stopIfTrue="1" operator="containsText" text="BAJO">
      <formula>NOT(ISERROR(SEARCH("BAJO",S250)))</formula>
    </cfRule>
    <cfRule type="containsText" dxfId="9948" priority="2740" stopIfTrue="1" operator="containsText" text="SIN RIESGO">
      <formula>NOT(ISERROR(SEARCH("SIN RIESGO",S250)))</formula>
    </cfRule>
  </conditionalFormatting>
  <conditionalFormatting sqref="S250">
    <cfRule type="containsText" dxfId="9947" priority="2735" stopIfTrue="1" operator="containsText" text="SIN RIESGO">
      <formula>NOT(ISERROR(SEARCH("SIN RIESGO",S250)))</formula>
    </cfRule>
  </conditionalFormatting>
  <conditionalFormatting sqref="Q271">
    <cfRule type="containsBlanks" dxfId="9946" priority="2728" stopIfTrue="1">
      <formula>LEN(TRIM(Q271))=0</formula>
    </cfRule>
    <cfRule type="cellIs" dxfId="9945" priority="2729" stopIfTrue="1" operator="between">
      <formula>80.1</formula>
      <formula>100</formula>
    </cfRule>
    <cfRule type="cellIs" dxfId="9944" priority="2730" stopIfTrue="1" operator="between">
      <formula>35.1</formula>
      <formula>80</formula>
    </cfRule>
    <cfRule type="cellIs" dxfId="9943" priority="2731" stopIfTrue="1" operator="between">
      <formula>14.1</formula>
      <formula>35</formula>
    </cfRule>
    <cfRule type="cellIs" dxfId="9942" priority="2732" stopIfTrue="1" operator="between">
      <formula>5.1</formula>
      <formula>14</formula>
    </cfRule>
    <cfRule type="cellIs" dxfId="9941" priority="2733" stopIfTrue="1" operator="between">
      <formula>0</formula>
      <formula>5</formula>
    </cfRule>
    <cfRule type="containsBlanks" dxfId="9940" priority="2734" stopIfTrue="1">
      <formula>LEN(TRIM(Q271))=0</formula>
    </cfRule>
  </conditionalFormatting>
  <conditionalFormatting sqref="R271">
    <cfRule type="cellIs" dxfId="9939" priority="2727" stopIfTrue="1" operator="equal">
      <formula>"NO"</formula>
    </cfRule>
  </conditionalFormatting>
  <conditionalFormatting sqref="S271">
    <cfRule type="cellIs" dxfId="9938" priority="2726" stopIfTrue="1" operator="equal">
      <formula>"INVIABLE SANITARIAMENTE"</formula>
    </cfRule>
  </conditionalFormatting>
  <conditionalFormatting sqref="Q271">
    <cfRule type="containsBlanks" dxfId="9937" priority="2719" stopIfTrue="1">
      <formula>LEN(TRIM(Q271))=0</formula>
    </cfRule>
    <cfRule type="cellIs" dxfId="9936" priority="2720" stopIfTrue="1" operator="between">
      <formula>80.1</formula>
      <formula>100</formula>
    </cfRule>
    <cfRule type="cellIs" dxfId="9935" priority="2721" stopIfTrue="1" operator="between">
      <formula>35.1</formula>
      <formula>80</formula>
    </cfRule>
    <cfRule type="cellIs" dxfId="9934" priority="2722" stopIfTrue="1" operator="between">
      <formula>14.1</formula>
      <formula>35</formula>
    </cfRule>
    <cfRule type="cellIs" dxfId="9933" priority="2723" stopIfTrue="1" operator="between">
      <formula>5.1</formula>
      <formula>14</formula>
    </cfRule>
    <cfRule type="cellIs" dxfId="9932" priority="2724" stopIfTrue="1" operator="between">
      <formula>0</formula>
      <formula>5</formula>
    </cfRule>
    <cfRule type="containsBlanks" dxfId="9931" priority="2725" stopIfTrue="1">
      <formula>LEN(TRIM(Q271))=0</formula>
    </cfRule>
  </conditionalFormatting>
  <conditionalFormatting sqref="S271">
    <cfRule type="containsText" dxfId="9930" priority="2714" stopIfTrue="1" operator="containsText" text="INVIABLE SANITARIAMENTE">
      <formula>NOT(ISERROR(SEARCH("INVIABLE SANITARIAMENTE",S271)))</formula>
    </cfRule>
    <cfRule type="containsText" dxfId="9929" priority="2715" stopIfTrue="1" operator="containsText" text="ALTO">
      <formula>NOT(ISERROR(SEARCH("ALTO",S271)))</formula>
    </cfRule>
    <cfRule type="containsText" dxfId="9928" priority="2716" stopIfTrue="1" operator="containsText" text="MEDIO">
      <formula>NOT(ISERROR(SEARCH("MEDIO",S271)))</formula>
    </cfRule>
    <cfRule type="containsText" dxfId="9927" priority="2717" stopIfTrue="1" operator="containsText" text="BAJO">
      <formula>NOT(ISERROR(SEARCH("BAJO",S271)))</formula>
    </cfRule>
    <cfRule type="containsText" dxfId="9926" priority="2718" stopIfTrue="1" operator="containsText" text="SIN RIESGO">
      <formula>NOT(ISERROR(SEARCH("SIN RIESGO",S271)))</formula>
    </cfRule>
  </conditionalFormatting>
  <conditionalFormatting sqref="S271">
    <cfRule type="containsText" dxfId="9925" priority="2713" stopIfTrue="1" operator="containsText" text="SIN RIESGO">
      <formula>NOT(ISERROR(SEARCH("SIN RIESGO",S271)))</formula>
    </cfRule>
  </conditionalFormatting>
  <conditionalFormatting sqref="E272:Q272">
    <cfRule type="containsBlanks" dxfId="9924" priority="2706" stopIfTrue="1">
      <formula>LEN(TRIM(E272))=0</formula>
    </cfRule>
    <cfRule type="cellIs" dxfId="9923" priority="2707" stopIfTrue="1" operator="between">
      <formula>80.1</formula>
      <formula>100</formula>
    </cfRule>
    <cfRule type="cellIs" dxfId="9922" priority="2708" stopIfTrue="1" operator="between">
      <formula>35.1</formula>
      <formula>80</formula>
    </cfRule>
    <cfRule type="cellIs" dxfId="9921" priority="2709" stopIfTrue="1" operator="between">
      <formula>14.1</formula>
      <formula>35</formula>
    </cfRule>
    <cfRule type="cellIs" dxfId="9920" priority="2710" stopIfTrue="1" operator="between">
      <formula>5.1</formula>
      <formula>14</formula>
    </cfRule>
    <cfRule type="cellIs" dxfId="9919" priority="2711" stopIfTrue="1" operator="between">
      <formula>0</formula>
      <formula>5</formula>
    </cfRule>
    <cfRule type="containsBlanks" dxfId="9918" priority="2712" stopIfTrue="1">
      <formula>LEN(TRIM(E272))=0</formula>
    </cfRule>
  </conditionalFormatting>
  <conditionalFormatting sqref="R272">
    <cfRule type="cellIs" dxfId="9917" priority="2705" stopIfTrue="1" operator="equal">
      <formula>"NO"</formula>
    </cfRule>
  </conditionalFormatting>
  <conditionalFormatting sqref="S272">
    <cfRule type="cellIs" dxfId="9916" priority="2704" stopIfTrue="1" operator="equal">
      <formula>"INVIABLE SANITARIAMENTE"</formula>
    </cfRule>
  </conditionalFormatting>
  <conditionalFormatting sqref="Q272">
    <cfRule type="containsBlanks" dxfId="9915" priority="2697" stopIfTrue="1">
      <formula>LEN(TRIM(Q272))=0</formula>
    </cfRule>
    <cfRule type="cellIs" dxfId="9914" priority="2698" stopIfTrue="1" operator="between">
      <formula>80.1</formula>
      <formula>100</formula>
    </cfRule>
    <cfRule type="cellIs" dxfId="9913" priority="2699" stopIfTrue="1" operator="between">
      <formula>35.1</formula>
      <formula>80</formula>
    </cfRule>
    <cfRule type="cellIs" dxfId="9912" priority="2700" stopIfTrue="1" operator="between">
      <formula>14.1</formula>
      <formula>35</formula>
    </cfRule>
    <cfRule type="cellIs" dxfId="9911" priority="2701" stopIfTrue="1" operator="between">
      <formula>5.1</formula>
      <formula>14</formula>
    </cfRule>
    <cfRule type="cellIs" dxfId="9910" priority="2702" stopIfTrue="1" operator="between">
      <formula>0</formula>
      <formula>5</formula>
    </cfRule>
    <cfRule type="containsBlanks" dxfId="9909" priority="2703" stopIfTrue="1">
      <formula>LEN(TRIM(Q272))=0</formula>
    </cfRule>
  </conditionalFormatting>
  <conditionalFormatting sqref="S272">
    <cfRule type="containsText" dxfId="9908" priority="2692" stopIfTrue="1" operator="containsText" text="INVIABLE SANITARIAMENTE">
      <formula>NOT(ISERROR(SEARCH("INVIABLE SANITARIAMENTE",S272)))</formula>
    </cfRule>
    <cfRule type="containsText" dxfId="9907" priority="2693" stopIfTrue="1" operator="containsText" text="ALTO">
      <formula>NOT(ISERROR(SEARCH("ALTO",S272)))</formula>
    </cfRule>
    <cfRule type="containsText" dxfId="9906" priority="2694" stopIfTrue="1" operator="containsText" text="MEDIO">
      <formula>NOT(ISERROR(SEARCH("MEDIO",S272)))</formula>
    </cfRule>
    <cfRule type="containsText" dxfId="9905" priority="2695" stopIfTrue="1" operator="containsText" text="BAJO">
      <formula>NOT(ISERROR(SEARCH("BAJO",S272)))</formula>
    </cfRule>
    <cfRule type="containsText" dxfId="9904" priority="2696" stopIfTrue="1" operator="containsText" text="SIN RIESGO">
      <formula>NOT(ISERROR(SEARCH("SIN RIESGO",S272)))</formula>
    </cfRule>
  </conditionalFormatting>
  <conditionalFormatting sqref="S272">
    <cfRule type="containsText" dxfId="9903" priority="2691" stopIfTrue="1" operator="containsText" text="SIN RIESGO">
      <formula>NOT(ISERROR(SEARCH("SIN RIESGO",S272)))</formula>
    </cfRule>
  </conditionalFormatting>
  <conditionalFormatting sqref="Q282">
    <cfRule type="containsBlanks" dxfId="9902" priority="2684" stopIfTrue="1">
      <formula>LEN(TRIM(Q282))=0</formula>
    </cfRule>
    <cfRule type="cellIs" dxfId="9901" priority="2685" stopIfTrue="1" operator="between">
      <formula>80.1</formula>
      <formula>100</formula>
    </cfRule>
    <cfRule type="cellIs" dxfId="9900" priority="2686" stopIfTrue="1" operator="between">
      <formula>35.1</formula>
      <formula>80</formula>
    </cfRule>
    <cfRule type="cellIs" dxfId="9899" priority="2687" stopIfTrue="1" operator="between">
      <formula>14.1</formula>
      <formula>35</formula>
    </cfRule>
    <cfRule type="cellIs" dxfId="9898" priority="2688" stopIfTrue="1" operator="between">
      <formula>5.1</formula>
      <formula>14</formula>
    </cfRule>
    <cfRule type="cellIs" dxfId="9897" priority="2689" stopIfTrue="1" operator="between">
      <formula>0</formula>
      <formula>5</formula>
    </cfRule>
    <cfRule type="containsBlanks" dxfId="9896" priority="2690" stopIfTrue="1">
      <formula>LEN(TRIM(Q282))=0</formula>
    </cfRule>
  </conditionalFormatting>
  <conditionalFormatting sqref="R282">
    <cfRule type="cellIs" dxfId="9895" priority="2683" stopIfTrue="1" operator="equal">
      <formula>"NO"</formula>
    </cfRule>
  </conditionalFormatting>
  <conditionalFormatting sqref="S282">
    <cfRule type="cellIs" dxfId="9894" priority="2682" stopIfTrue="1" operator="equal">
      <formula>"INVIABLE SANITARIAMENTE"</formula>
    </cfRule>
  </conditionalFormatting>
  <conditionalFormatting sqref="Q282">
    <cfRule type="containsBlanks" dxfId="9893" priority="2675" stopIfTrue="1">
      <formula>LEN(TRIM(Q282))=0</formula>
    </cfRule>
    <cfRule type="cellIs" dxfId="9892" priority="2676" stopIfTrue="1" operator="between">
      <formula>80.1</formula>
      <formula>100</formula>
    </cfRule>
    <cfRule type="cellIs" dxfId="9891" priority="2677" stopIfTrue="1" operator="between">
      <formula>35.1</formula>
      <formula>80</formula>
    </cfRule>
    <cfRule type="cellIs" dxfId="9890" priority="2678" stopIfTrue="1" operator="between">
      <formula>14.1</formula>
      <formula>35</formula>
    </cfRule>
    <cfRule type="cellIs" dxfId="9889" priority="2679" stopIfTrue="1" operator="between">
      <formula>5.1</formula>
      <formula>14</formula>
    </cfRule>
    <cfRule type="cellIs" dxfId="9888" priority="2680" stopIfTrue="1" operator="between">
      <formula>0</formula>
      <formula>5</formula>
    </cfRule>
    <cfRule type="containsBlanks" dxfId="9887" priority="2681" stopIfTrue="1">
      <formula>LEN(TRIM(Q282))=0</formula>
    </cfRule>
  </conditionalFormatting>
  <conditionalFormatting sqref="S282">
    <cfRule type="containsText" dxfId="9886" priority="2670" stopIfTrue="1" operator="containsText" text="INVIABLE SANITARIAMENTE">
      <formula>NOT(ISERROR(SEARCH("INVIABLE SANITARIAMENTE",S282)))</formula>
    </cfRule>
    <cfRule type="containsText" dxfId="9885" priority="2671" stopIfTrue="1" operator="containsText" text="ALTO">
      <formula>NOT(ISERROR(SEARCH("ALTO",S282)))</formula>
    </cfRule>
    <cfRule type="containsText" dxfId="9884" priority="2672" stopIfTrue="1" operator="containsText" text="MEDIO">
      <formula>NOT(ISERROR(SEARCH("MEDIO",S282)))</formula>
    </cfRule>
    <cfRule type="containsText" dxfId="9883" priority="2673" stopIfTrue="1" operator="containsText" text="BAJO">
      <formula>NOT(ISERROR(SEARCH("BAJO",S282)))</formula>
    </cfRule>
    <cfRule type="containsText" dxfId="9882" priority="2674" stopIfTrue="1" operator="containsText" text="SIN RIESGO">
      <formula>NOT(ISERROR(SEARCH("SIN RIESGO",S282)))</formula>
    </cfRule>
  </conditionalFormatting>
  <conditionalFormatting sqref="S282">
    <cfRule type="containsText" dxfId="9881" priority="2669" stopIfTrue="1" operator="containsText" text="SIN RIESGO">
      <formula>NOT(ISERROR(SEARCH("SIN RIESGO",S282)))</formula>
    </cfRule>
  </conditionalFormatting>
  <conditionalFormatting sqref="E93:P93">
    <cfRule type="containsBlanks" dxfId="9880" priority="2662" stopIfTrue="1">
      <formula>LEN(TRIM(E93))=0</formula>
    </cfRule>
    <cfRule type="cellIs" dxfId="9879" priority="2663" stopIfTrue="1" operator="between">
      <formula>79.1</formula>
      <formula>100</formula>
    </cfRule>
    <cfRule type="cellIs" dxfId="9878" priority="2664" stopIfTrue="1" operator="between">
      <formula>34.1</formula>
      <formula>79</formula>
    </cfRule>
    <cfRule type="cellIs" dxfId="9877" priority="2665" stopIfTrue="1" operator="between">
      <formula>13.1</formula>
      <formula>34</formula>
    </cfRule>
    <cfRule type="cellIs" dxfId="9876" priority="2666" stopIfTrue="1" operator="between">
      <formula>5.1</formula>
      <formula>13</formula>
    </cfRule>
    <cfRule type="cellIs" dxfId="9875" priority="2667" stopIfTrue="1" operator="between">
      <formula>0</formula>
      <formula>5</formula>
    </cfRule>
    <cfRule type="containsBlanks" dxfId="9874" priority="2668" stopIfTrue="1">
      <formula>LEN(TRIM(E93))=0</formula>
    </cfRule>
  </conditionalFormatting>
  <conditionalFormatting sqref="Q93">
    <cfRule type="containsBlanks" dxfId="9873" priority="2655" stopIfTrue="1">
      <formula>LEN(TRIM(Q93))=0</formula>
    </cfRule>
    <cfRule type="cellIs" dxfId="9872" priority="2656" stopIfTrue="1" operator="between">
      <formula>80.1</formula>
      <formula>100</formula>
    </cfRule>
    <cfRule type="cellIs" dxfId="9871" priority="2657" stopIfTrue="1" operator="between">
      <formula>35.1</formula>
      <formula>80</formula>
    </cfRule>
    <cfRule type="cellIs" dxfId="9870" priority="2658" stopIfTrue="1" operator="between">
      <formula>14.1</formula>
      <formula>35</formula>
    </cfRule>
    <cfRule type="cellIs" dxfId="9869" priority="2659" stopIfTrue="1" operator="between">
      <formula>5.1</formula>
      <formula>14</formula>
    </cfRule>
    <cfRule type="cellIs" dxfId="9868" priority="2660" stopIfTrue="1" operator="between">
      <formula>0</formula>
      <formula>5</formula>
    </cfRule>
    <cfRule type="containsBlanks" dxfId="9867" priority="2661" stopIfTrue="1">
      <formula>LEN(TRIM(Q93))=0</formula>
    </cfRule>
  </conditionalFormatting>
  <conditionalFormatting sqref="R93">
    <cfRule type="cellIs" dxfId="9866" priority="2654" stopIfTrue="1" operator="equal">
      <formula>"NO"</formula>
    </cfRule>
  </conditionalFormatting>
  <conditionalFormatting sqref="S93">
    <cfRule type="cellIs" dxfId="9865" priority="2653" stopIfTrue="1" operator="equal">
      <formula>"INVIABLE SANITARIAMENTE"</formula>
    </cfRule>
  </conditionalFormatting>
  <conditionalFormatting sqref="Q93">
    <cfRule type="containsBlanks" dxfId="9864" priority="2646" stopIfTrue="1">
      <formula>LEN(TRIM(Q93))=0</formula>
    </cfRule>
    <cfRule type="cellIs" dxfId="9863" priority="2647" stopIfTrue="1" operator="between">
      <formula>80.1</formula>
      <formula>100</formula>
    </cfRule>
    <cfRule type="cellIs" dxfId="9862" priority="2648" stopIfTrue="1" operator="between">
      <formula>35.1</formula>
      <formula>80</formula>
    </cfRule>
    <cfRule type="cellIs" dxfId="9861" priority="2649" stopIfTrue="1" operator="between">
      <formula>14.1</formula>
      <formula>35</formula>
    </cfRule>
    <cfRule type="cellIs" dxfId="9860" priority="2650" stopIfTrue="1" operator="between">
      <formula>5.1</formula>
      <formula>14</formula>
    </cfRule>
    <cfRule type="cellIs" dxfId="9859" priority="2651" stopIfTrue="1" operator="between">
      <formula>0</formula>
      <formula>5</formula>
    </cfRule>
    <cfRule type="containsBlanks" dxfId="9858" priority="2652" stopIfTrue="1">
      <formula>LEN(TRIM(Q93))=0</formula>
    </cfRule>
  </conditionalFormatting>
  <conditionalFormatting sqref="S93">
    <cfRule type="containsText" dxfId="9857" priority="2641" stopIfTrue="1" operator="containsText" text="INVIABLE SANITARIAMENTE">
      <formula>NOT(ISERROR(SEARCH("INVIABLE SANITARIAMENTE",S93)))</formula>
    </cfRule>
    <cfRule type="containsText" dxfId="9856" priority="2642" stopIfTrue="1" operator="containsText" text="ALTO">
      <formula>NOT(ISERROR(SEARCH("ALTO",S93)))</formula>
    </cfRule>
    <cfRule type="containsText" dxfId="9855" priority="2643" stopIfTrue="1" operator="containsText" text="MEDIO">
      <formula>NOT(ISERROR(SEARCH("MEDIO",S93)))</formula>
    </cfRule>
    <cfRule type="containsText" dxfId="9854" priority="2644" stopIfTrue="1" operator="containsText" text="BAJO">
      <formula>NOT(ISERROR(SEARCH("BAJO",S93)))</formula>
    </cfRule>
    <cfRule type="containsText" dxfId="9853" priority="2645" stopIfTrue="1" operator="containsText" text="SIN RIESGO">
      <formula>NOT(ISERROR(SEARCH("SIN RIESGO",S93)))</formula>
    </cfRule>
  </conditionalFormatting>
  <conditionalFormatting sqref="S93">
    <cfRule type="containsText" dxfId="9852" priority="2640" stopIfTrue="1" operator="containsText" text="SIN RIESGO">
      <formula>NOT(ISERROR(SEARCH("SIN RIESGO",S93)))</formula>
    </cfRule>
  </conditionalFormatting>
  <conditionalFormatting sqref="E94:P94">
    <cfRule type="containsBlanks" dxfId="9851" priority="2633" stopIfTrue="1">
      <formula>LEN(TRIM(E94))=0</formula>
    </cfRule>
    <cfRule type="cellIs" dxfId="9850" priority="2634" stopIfTrue="1" operator="between">
      <formula>79.1</formula>
      <formula>100</formula>
    </cfRule>
    <cfRule type="cellIs" dxfId="9849" priority="2635" stopIfTrue="1" operator="between">
      <formula>34.1</formula>
      <formula>79</formula>
    </cfRule>
    <cfRule type="cellIs" dxfId="9848" priority="2636" stopIfTrue="1" operator="between">
      <formula>13.1</formula>
      <formula>34</formula>
    </cfRule>
    <cfRule type="cellIs" dxfId="9847" priority="2637" stopIfTrue="1" operator="between">
      <formula>5.1</formula>
      <formula>13</formula>
    </cfRule>
    <cfRule type="cellIs" dxfId="9846" priority="2638" stopIfTrue="1" operator="between">
      <formula>0</formula>
      <formula>5</formula>
    </cfRule>
    <cfRule type="containsBlanks" dxfId="9845" priority="2639" stopIfTrue="1">
      <formula>LEN(TRIM(E94))=0</formula>
    </cfRule>
  </conditionalFormatting>
  <conditionalFormatting sqref="Q94">
    <cfRule type="containsBlanks" dxfId="9844" priority="2626" stopIfTrue="1">
      <formula>LEN(TRIM(Q94))=0</formula>
    </cfRule>
    <cfRule type="cellIs" dxfId="9843" priority="2627" stopIfTrue="1" operator="between">
      <formula>80.1</formula>
      <formula>100</formula>
    </cfRule>
    <cfRule type="cellIs" dxfId="9842" priority="2628" stopIfTrue="1" operator="between">
      <formula>35.1</formula>
      <formula>80</formula>
    </cfRule>
    <cfRule type="cellIs" dxfId="9841" priority="2629" stopIfTrue="1" operator="between">
      <formula>14.1</formula>
      <formula>35</formula>
    </cfRule>
    <cfRule type="cellIs" dxfId="9840" priority="2630" stopIfTrue="1" operator="between">
      <formula>5.1</formula>
      <formula>14</formula>
    </cfRule>
    <cfRule type="cellIs" dxfId="9839" priority="2631" stopIfTrue="1" operator="between">
      <formula>0</formula>
      <formula>5</formula>
    </cfRule>
    <cfRule type="containsBlanks" dxfId="9838" priority="2632" stopIfTrue="1">
      <formula>LEN(TRIM(Q94))=0</formula>
    </cfRule>
  </conditionalFormatting>
  <conditionalFormatting sqref="R94">
    <cfRule type="cellIs" dxfId="9837" priority="2625" stopIfTrue="1" operator="equal">
      <formula>"NO"</formula>
    </cfRule>
  </conditionalFormatting>
  <conditionalFormatting sqref="S94">
    <cfRule type="cellIs" dxfId="9836" priority="2624" stopIfTrue="1" operator="equal">
      <formula>"INVIABLE SANITARIAMENTE"</formula>
    </cfRule>
  </conditionalFormatting>
  <conditionalFormatting sqref="Q94">
    <cfRule type="containsBlanks" dxfId="9835" priority="2617" stopIfTrue="1">
      <formula>LEN(TRIM(Q94))=0</formula>
    </cfRule>
    <cfRule type="cellIs" dxfId="9834" priority="2618" stopIfTrue="1" operator="between">
      <formula>80.1</formula>
      <formula>100</formula>
    </cfRule>
    <cfRule type="cellIs" dxfId="9833" priority="2619" stopIfTrue="1" operator="between">
      <formula>35.1</formula>
      <formula>80</formula>
    </cfRule>
    <cfRule type="cellIs" dxfId="9832" priority="2620" stopIfTrue="1" operator="between">
      <formula>14.1</formula>
      <formula>35</formula>
    </cfRule>
    <cfRule type="cellIs" dxfId="9831" priority="2621" stopIfTrue="1" operator="between">
      <formula>5.1</formula>
      <formula>14</formula>
    </cfRule>
    <cfRule type="cellIs" dxfId="9830" priority="2622" stopIfTrue="1" operator="between">
      <formula>0</formula>
      <formula>5</formula>
    </cfRule>
    <cfRule type="containsBlanks" dxfId="9829" priority="2623" stopIfTrue="1">
      <formula>LEN(TRIM(Q94))=0</formula>
    </cfRule>
  </conditionalFormatting>
  <conditionalFormatting sqref="S94">
    <cfRule type="containsText" dxfId="9828" priority="2612" stopIfTrue="1" operator="containsText" text="INVIABLE SANITARIAMENTE">
      <formula>NOT(ISERROR(SEARCH("INVIABLE SANITARIAMENTE",S94)))</formula>
    </cfRule>
    <cfRule type="containsText" dxfId="9827" priority="2613" stopIfTrue="1" operator="containsText" text="ALTO">
      <formula>NOT(ISERROR(SEARCH("ALTO",S94)))</formula>
    </cfRule>
    <cfRule type="containsText" dxfId="9826" priority="2614" stopIfTrue="1" operator="containsText" text="MEDIO">
      <formula>NOT(ISERROR(SEARCH("MEDIO",S94)))</formula>
    </cfRule>
    <cfRule type="containsText" dxfId="9825" priority="2615" stopIfTrue="1" operator="containsText" text="BAJO">
      <formula>NOT(ISERROR(SEARCH("BAJO",S94)))</formula>
    </cfRule>
    <cfRule type="containsText" dxfId="9824" priority="2616" stopIfTrue="1" operator="containsText" text="SIN RIESGO">
      <formula>NOT(ISERROR(SEARCH("SIN RIESGO",S94)))</formula>
    </cfRule>
  </conditionalFormatting>
  <conditionalFormatting sqref="S94">
    <cfRule type="containsText" dxfId="9823" priority="2611" stopIfTrue="1" operator="containsText" text="SIN RIESGO">
      <formula>NOT(ISERROR(SEARCH("SIN RIESGO",S94)))</formula>
    </cfRule>
  </conditionalFormatting>
  <conditionalFormatting sqref="E17:P17">
    <cfRule type="containsBlanks" dxfId="9822" priority="2604" stopIfTrue="1">
      <formula>LEN(TRIM(E17))=0</formula>
    </cfRule>
    <cfRule type="cellIs" dxfId="9821" priority="2605" stopIfTrue="1" operator="between">
      <formula>80.1</formula>
      <formula>100</formula>
    </cfRule>
    <cfRule type="cellIs" dxfId="9820" priority="2606" stopIfTrue="1" operator="between">
      <formula>35.1</formula>
      <formula>80</formula>
    </cfRule>
    <cfRule type="cellIs" dxfId="9819" priority="2607" stopIfTrue="1" operator="between">
      <formula>14.1</formula>
      <formula>35</formula>
    </cfRule>
    <cfRule type="cellIs" dxfId="9818" priority="2608" stopIfTrue="1" operator="between">
      <formula>5.1</formula>
      <formula>14</formula>
    </cfRule>
    <cfRule type="cellIs" dxfId="9817" priority="2609" stopIfTrue="1" operator="between">
      <formula>0</formula>
      <formula>5</formula>
    </cfRule>
    <cfRule type="containsBlanks" dxfId="9816" priority="2610" stopIfTrue="1">
      <formula>LEN(TRIM(E17))=0</formula>
    </cfRule>
  </conditionalFormatting>
  <conditionalFormatting sqref="E11:P11">
    <cfRule type="containsBlanks" dxfId="9815" priority="2597" stopIfTrue="1">
      <formula>LEN(TRIM(E11))=0</formula>
    </cfRule>
    <cfRule type="cellIs" dxfId="9814" priority="2598" stopIfTrue="1" operator="between">
      <formula>80.1</formula>
      <formula>100</formula>
    </cfRule>
    <cfRule type="cellIs" dxfId="9813" priority="2599" stopIfTrue="1" operator="between">
      <formula>35.1</formula>
      <formula>80</formula>
    </cfRule>
    <cfRule type="cellIs" dxfId="9812" priority="2600" stopIfTrue="1" operator="between">
      <formula>14.1</formula>
      <formula>35</formula>
    </cfRule>
    <cfRule type="cellIs" dxfId="9811" priority="2601" stopIfTrue="1" operator="between">
      <formula>5.1</formula>
      <formula>14</formula>
    </cfRule>
    <cfRule type="cellIs" dxfId="9810" priority="2602" stopIfTrue="1" operator="between">
      <formula>0</formula>
      <formula>5</formula>
    </cfRule>
    <cfRule type="containsBlanks" dxfId="9809" priority="2603" stopIfTrue="1">
      <formula>LEN(TRIM(E11))=0</formula>
    </cfRule>
  </conditionalFormatting>
  <conditionalFormatting sqref="E19:P19">
    <cfRule type="containsBlanks" dxfId="9808" priority="2590" stopIfTrue="1">
      <formula>LEN(TRIM(E19))=0</formula>
    </cfRule>
    <cfRule type="cellIs" dxfId="9807" priority="2591" stopIfTrue="1" operator="between">
      <formula>80.1</formula>
      <formula>100</formula>
    </cfRule>
    <cfRule type="cellIs" dxfId="9806" priority="2592" stopIfTrue="1" operator="between">
      <formula>35.1</formula>
      <formula>80</formula>
    </cfRule>
    <cfRule type="cellIs" dxfId="9805" priority="2593" stopIfTrue="1" operator="between">
      <formula>14.1</formula>
      <formula>35</formula>
    </cfRule>
    <cfRule type="cellIs" dxfId="9804" priority="2594" stopIfTrue="1" operator="between">
      <formula>5.1</formula>
      <formula>14</formula>
    </cfRule>
    <cfRule type="cellIs" dxfId="9803" priority="2595" stopIfTrue="1" operator="between">
      <formula>0</formula>
      <formula>5</formula>
    </cfRule>
    <cfRule type="containsBlanks" dxfId="9802" priority="2596" stopIfTrue="1">
      <formula>LEN(TRIM(E19))=0</formula>
    </cfRule>
  </conditionalFormatting>
  <conditionalFormatting sqref="E32:P32">
    <cfRule type="containsBlanks" dxfId="9801" priority="2583" stopIfTrue="1">
      <formula>LEN(TRIM(E32))=0</formula>
    </cfRule>
    <cfRule type="cellIs" dxfId="9800" priority="2584" stopIfTrue="1" operator="between">
      <formula>80.1</formula>
      <formula>100</formula>
    </cfRule>
    <cfRule type="cellIs" dxfId="9799" priority="2585" stopIfTrue="1" operator="between">
      <formula>35.1</formula>
      <formula>80</formula>
    </cfRule>
    <cfRule type="cellIs" dxfId="9798" priority="2586" stopIfTrue="1" operator="between">
      <formula>14.1</formula>
      <formula>35</formula>
    </cfRule>
    <cfRule type="cellIs" dxfId="9797" priority="2587" stopIfTrue="1" operator="between">
      <formula>5.1</formula>
      <formula>14</formula>
    </cfRule>
    <cfRule type="cellIs" dxfId="9796" priority="2588" stopIfTrue="1" operator="between">
      <formula>0</formula>
      <formula>5</formula>
    </cfRule>
    <cfRule type="containsBlanks" dxfId="9795" priority="2589" stopIfTrue="1">
      <formula>LEN(TRIM(E32))=0</formula>
    </cfRule>
  </conditionalFormatting>
  <conditionalFormatting sqref="E26:P26">
    <cfRule type="containsBlanks" dxfId="9794" priority="2576" stopIfTrue="1">
      <formula>LEN(TRIM(E26))=0</formula>
    </cfRule>
    <cfRule type="cellIs" dxfId="9793" priority="2577" stopIfTrue="1" operator="between">
      <formula>80.1</formula>
      <formula>100</formula>
    </cfRule>
    <cfRule type="cellIs" dxfId="9792" priority="2578" stopIfTrue="1" operator="between">
      <formula>35.1</formula>
      <formula>80</formula>
    </cfRule>
    <cfRule type="cellIs" dxfId="9791" priority="2579" stopIfTrue="1" operator="between">
      <formula>14.1</formula>
      <formula>35</formula>
    </cfRule>
    <cfRule type="cellIs" dxfId="9790" priority="2580" stopIfTrue="1" operator="between">
      <formula>5.1</formula>
      <formula>14</formula>
    </cfRule>
    <cfRule type="cellIs" dxfId="9789" priority="2581" stopIfTrue="1" operator="between">
      <formula>0</formula>
      <formula>5</formula>
    </cfRule>
    <cfRule type="containsBlanks" dxfId="9788" priority="2582" stopIfTrue="1">
      <formula>LEN(TRIM(E26))=0</formula>
    </cfRule>
  </conditionalFormatting>
  <conditionalFormatting sqref="E37:P40">
    <cfRule type="containsBlanks" dxfId="9787" priority="2569" stopIfTrue="1">
      <formula>LEN(TRIM(E37))=0</formula>
    </cfRule>
    <cfRule type="cellIs" dxfId="9786" priority="2570" stopIfTrue="1" operator="between">
      <formula>80.1</formula>
      <formula>100</formula>
    </cfRule>
    <cfRule type="cellIs" dxfId="9785" priority="2571" stopIfTrue="1" operator="between">
      <formula>35.1</formula>
      <formula>80</formula>
    </cfRule>
    <cfRule type="cellIs" dxfId="9784" priority="2572" stopIfTrue="1" operator="between">
      <formula>14.1</formula>
      <formula>35</formula>
    </cfRule>
    <cfRule type="cellIs" dxfId="9783" priority="2573" stopIfTrue="1" operator="between">
      <formula>5.1</formula>
      <formula>14</formula>
    </cfRule>
    <cfRule type="cellIs" dxfId="9782" priority="2574" stopIfTrue="1" operator="between">
      <formula>0</formula>
      <formula>5</formula>
    </cfRule>
    <cfRule type="containsBlanks" dxfId="9781" priority="2575" stopIfTrue="1">
      <formula>LEN(TRIM(E37))=0</formula>
    </cfRule>
  </conditionalFormatting>
  <conditionalFormatting sqref="E51:P51">
    <cfRule type="containsBlanks" dxfId="9780" priority="2562" stopIfTrue="1">
      <formula>LEN(TRIM(E51))=0</formula>
    </cfRule>
    <cfRule type="cellIs" dxfId="9779" priority="2563" stopIfTrue="1" operator="between">
      <formula>80.1</formula>
      <formula>100</formula>
    </cfRule>
    <cfRule type="cellIs" dxfId="9778" priority="2564" stopIfTrue="1" operator="between">
      <formula>35.1</formula>
      <formula>80</formula>
    </cfRule>
    <cfRule type="cellIs" dxfId="9777" priority="2565" stopIfTrue="1" operator="between">
      <formula>14.1</formula>
      <formula>35</formula>
    </cfRule>
    <cfRule type="cellIs" dxfId="9776" priority="2566" stopIfTrue="1" operator="between">
      <formula>5.1</formula>
      <formula>14</formula>
    </cfRule>
    <cfRule type="cellIs" dxfId="9775" priority="2567" stopIfTrue="1" operator="between">
      <formula>0</formula>
      <formula>5</formula>
    </cfRule>
    <cfRule type="containsBlanks" dxfId="9774" priority="2568" stopIfTrue="1">
      <formula>LEN(TRIM(E51))=0</formula>
    </cfRule>
  </conditionalFormatting>
  <conditionalFormatting sqref="E79:P79">
    <cfRule type="containsBlanks" dxfId="9773" priority="2555" stopIfTrue="1">
      <formula>LEN(TRIM(E79))=0</formula>
    </cfRule>
    <cfRule type="cellIs" dxfId="9772" priority="2556" stopIfTrue="1" operator="between">
      <formula>80.1</formula>
      <formula>100</formula>
    </cfRule>
    <cfRule type="cellIs" dxfId="9771" priority="2557" stopIfTrue="1" operator="between">
      <formula>35.1</formula>
      <formula>80</formula>
    </cfRule>
    <cfRule type="cellIs" dxfId="9770" priority="2558" stopIfTrue="1" operator="between">
      <formula>14.1</formula>
      <formula>35</formula>
    </cfRule>
    <cfRule type="cellIs" dxfId="9769" priority="2559" stopIfTrue="1" operator="between">
      <formula>5.1</formula>
      <formula>14</formula>
    </cfRule>
    <cfRule type="cellIs" dxfId="9768" priority="2560" stopIfTrue="1" operator="between">
      <formula>0</formula>
      <formula>5</formula>
    </cfRule>
    <cfRule type="containsBlanks" dxfId="9767" priority="2561" stopIfTrue="1">
      <formula>LEN(TRIM(E79))=0</formula>
    </cfRule>
  </conditionalFormatting>
  <conditionalFormatting sqref="E53:P53">
    <cfRule type="containsBlanks" dxfId="9766" priority="2548" stopIfTrue="1">
      <formula>LEN(TRIM(E53))=0</formula>
    </cfRule>
    <cfRule type="cellIs" dxfId="9765" priority="2549" stopIfTrue="1" operator="between">
      <formula>80.1</formula>
      <formula>100</formula>
    </cfRule>
    <cfRule type="cellIs" dxfId="9764" priority="2550" stopIfTrue="1" operator="between">
      <formula>35.1</formula>
      <formula>80</formula>
    </cfRule>
    <cfRule type="cellIs" dxfId="9763" priority="2551" stopIfTrue="1" operator="between">
      <formula>14.1</formula>
      <formula>35</formula>
    </cfRule>
    <cfRule type="cellIs" dxfId="9762" priority="2552" stopIfTrue="1" operator="between">
      <formula>5.1</formula>
      <formula>14</formula>
    </cfRule>
    <cfRule type="cellIs" dxfId="9761" priority="2553" stopIfTrue="1" operator="between">
      <formula>0</formula>
      <formula>5</formula>
    </cfRule>
    <cfRule type="containsBlanks" dxfId="9760" priority="2554" stopIfTrue="1">
      <formula>LEN(TRIM(E53))=0</formula>
    </cfRule>
  </conditionalFormatting>
  <conditionalFormatting sqref="E54:P54">
    <cfRule type="containsBlanks" dxfId="9759" priority="2541" stopIfTrue="1">
      <formula>LEN(TRIM(E54))=0</formula>
    </cfRule>
    <cfRule type="cellIs" dxfId="9758" priority="2542" stopIfTrue="1" operator="between">
      <formula>80.1</formula>
      <formula>100</formula>
    </cfRule>
    <cfRule type="cellIs" dxfId="9757" priority="2543" stopIfTrue="1" operator="between">
      <formula>35.1</formula>
      <formula>80</formula>
    </cfRule>
    <cfRule type="cellIs" dxfId="9756" priority="2544" stopIfTrue="1" operator="between">
      <formula>14.1</formula>
      <formula>35</formula>
    </cfRule>
    <cfRule type="cellIs" dxfId="9755" priority="2545" stopIfTrue="1" operator="between">
      <formula>5.1</formula>
      <formula>14</formula>
    </cfRule>
    <cfRule type="cellIs" dxfId="9754" priority="2546" stopIfTrue="1" operator="between">
      <formula>0</formula>
      <formula>5</formula>
    </cfRule>
    <cfRule type="containsBlanks" dxfId="9753" priority="2547" stopIfTrue="1">
      <formula>LEN(TRIM(E54))=0</formula>
    </cfRule>
  </conditionalFormatting>
  <conditionalFormatting sqref="E52:G52 I52:P52">
    <cfRule type="containsBlanks" dxfId="9752" priority="2534" stopIfTrue="1">
      <formula>LEN(TRIM(E52))=0</formula>
    </cfRule>
    <cfRule type="cellIs" dxfId="9751" priority="2535" stopIfTrue="1" operator="between">
      <formula>80.1</formula>
      <formula>100</formula>
    </cfRule>
    <cfRule type="cellIs" dxfId="9750" priority="2536" stopIfTrue="1" operator="between">
      <formula>35.1</formula>
      <formula>80</formula>
    </cfRule>
    <cfRule type="cellIs" dxfId="9749" priority="2537" stopIfTrue="1" operator="between">
      <formula>14.1</formula>
      <formula>35</formula>
    </cfRule>
    <cfRule type="cellIs" dxfId="9748" priority="2538" stopIfTrue="1" operator="between">
      <formula>5.1</formula>
      <formula>14</formula>
    </cfRule>
    <cfRule type="cellIs" dxfId="9747" priority="2539" stopIfTrue="1" operator="between">
      <formula>0</formula>
      <formula>5</formula>
    </cfRule>
    <cfRule type="containsBlanks" dxfId="9746" priority="2540" stopIfTrue="1">
      <formula>LEN(TRIM(E52))=0</formula>
    </cfRule>
  </conditionalFormatting>
  <conditionalFormatting sqref="J71:P71 E71:H71">
    <cfRule type="containsBlanks" dxfId="9745" priority="2527" stopIfTrue="1">
      <formula>LEN(TRIM(E71))=0</formula>
    </cfRule>
    <cfRule type="cellIs" dxfId="9744" priority="2528" stopIfTrue="1" operator="between">
      <formula>80.1</formula>
      <formula>100</formula>
    </cfRule>
    <cfRule type="cellIs" dxfId="9743" priority="2529" stopIfTrue="1" operator="between">
      <formula>35.1</formula>
      <formula>80</formula>
    </cfRule>
    <cfRule type="cellIs" dxfId="9742" priority="2530" stopIfTrue="1" operator="between">
      <formula>14.1</formula>
      <formula>35</formula>
    </cfRule>
    <cfRule type="cellIs" dxfId="9741" priority="2531" stopIfTrue="1" operator="between">
      <formula>5.1</formula>
      <formula>14</formula>
    </cfRule>
    <cfRule type="cellIs" dxfId="9740" priority="2532" stopIfTrue="1" operator="between">
      <formula>0</formula>
      <formula>5</formula>
    </cfRule>
    <cfRule type="containsBlanks" dxfId="9739" priority="2533" stopIfTrue="1">
      <formula>LEN(TRIM(E71))=0</formula>
    </cfRule>
  </conditionalFormatting>
  <conditionalFormatting sqref="J60:P60 E60:H60">
    <cfRule type="containsBlanks" dxfId="9738" priority="2520" stopIfTrue="1">
      <formula>LEN(TRIM(E60))=0</formula>
    </cfRule>
    <cfRule type="cellIs" dxfId="9737" priority="2521" stopIfTrue="1" operator="between">
      <formula>80.1</formula>
      <formula>100</formula>
    </cfRule>
    <cfRule type="cellIs" dxfId="9736" priority="2522" stopIfTrue="1" operator="between">
      <formula>35.1</formula>
      <formula>80</formula>
    </cfRule>
    <cfRule type="cellIs" dxfId="9735" priority="2523" stopIfTrue="1" operator="between">
      <formula>14.1</formula>
      <formula>35</formula>
    </cfRule>
    <cfRule type="cellIs" dxfId="9734" priority="2524" stopIfTrue="1" operator="between">
      <formula>5.1</formula>
      <formula>14</formula>
    </cfRule>
    <cfRule type="cellIs" dxfId="9733" priority="2525" stopIfTrue="1" operator="between">
      <formula>0</formula>
      <formula>5</formula>
    </cfRule>
    <cfRule type="containsBlanks" dxfId="9732" priority="2526" stopIfTrue="1">
      <formula>LEN(TRIM(E60))=0</formula>
    </cfRule>
  </conditionalFormatting>
  <conditionalFormatting sqref="E50:P50">
    <cfRule type="containsBlanks" dxfId="9731" priority="2513" stopIfTrue="1">
      <formula>LEN(TRIM(E50))=0</formula>
    </cfRule>
    <cfRule type="cellIs" dxfId="9730" priority="2514" stopIfTrue="1" operator="between">
      <formula>80.1</formula>
      <formula>100</formula>
    </cfRule>
    <cfRule type="cellIs" dxfId="9729" priority="2515" stopIfTrue="1" operator="between">
      <formula>35.1</formula>
      <formula>80</formula>
    </cfRule>
    <cfRule type="cellIs" dxfId="9728" priority="2516" stopIfTrue="1" operator="between">
      <formula>14.1</formula>
      <formula>35</formula>
    </cfRule>
    <cfRule type="cellIs" dxfId="9727" priority="2517" stopIfTrue="1" operator="between">
      <formula>5.1</formula>
      <formula>14</formula>
    </cfRule>
    <cfRule type="cellIs" dxfId="9726" priority="2518" stopIfTrue="1" operator="between">
      <formula>0</formula>
      <formula>5</formula>
    </cfRule>
    <cfRule type="containsBlanks" dxfId="9725" priority="2519" stopIfTrue="1">
      <formula>LEN(TRIM(E50))=0</formula>
    </cfRule>
  </conditionalFormatting>
  <conditionalFormatting sqref="E55:P55">
    <cfRule type="containsBlanks" dxfId="9724" priority="2506" stopIfTrue="1">
      <formula>LEN(TRIM(E55))=0</formula>
    </cfRule>
    <cfRule type="cellIs" dxfId="9723" priority="2507" stopIfTrue="1" operator="between">
      <formula>80.1</formula>
      <formula>100</formula>
    </cfRule>
    <cfRule type="cellIs" dxfId="9722" priority="2508" stopIfTrue="1" operator="between">
      <formula>35.1</formula>
      <formula>80</formula>
    </cfRule>
    <cfRule type="cellIs" dxfId="9721" priority="2509" stopIfTrue="1" operator="between">
      <formula>14.1</formula>
      <formula>35</formula>
    </cfRule>
    <cfRule type="cellIs" dxfId="9720" priority="2510" stopIfTrue="1" operator="between">
      <formula>5.1</formula>
      <formula>14</formula>
    </cfRule>
    <cfRule type="cellIs" dxfId="9719" priority="2511" stopIfTrue="1" operator="between">
      <formula>0</formula>
      <formula>5</formula>
    </cfRule>
    <cfRule type="containsBlanks" dxfId="9718" priority="2512" stopIfTrue="1">
      <formula>LEN(TRIM(E55))=0</formula>
    </cfRule>
  </conditionalFormatting>
  <conditionalFormatting sqref="E72:P72">
    <cfRule type="containsBlanks" dxfId="9717" priority="2499" stopIfTrue="1">
      <formula>LEN(TRIM(E72))=0</formula>
    </cfRule>
    <cfRule type="cellIs" dxfId="9716" priority="2500" stopIfTrue="1" operator="between">
      <formula>80.1</formula>
      <formula>100</formula>
    </cfRule>
    <cfRule type="cellIs" dxfId="9715" priority="2501" stopIfTrue="1" operator="between">
      <formula>35.1</formula>
      <formula>80</formula>
    </cfRule>
    <cfRule type="cellIs" dxfId="9714" priority="2502" stopIfTrue="1" operator="between">
      <formula>14.1</formula>
      <formula>35</formula>
    </cfRule>
    <cfRule type="cellIs" dxfId="9713" priority="2503" stopIfTrue="1" operator="between">
      <formula>5.1</formula>
      <formula>14</formula>
    </cfRule>
    <cfRule type="cellIs" dxfId="9712" priority="2504" stopIfTrue="1" operator="between">
      <formula>0</formula>
      <formula>5</formula>
    </cfRule>
    <cfRule type="containsBlanks" dxfId="9711" priority="2505" stopIfTrue="1">
      <formula>LEN(TRIM(E72))=0</formula>
    </cfRule>
  </conditionalFormatting>
  <conditionalFormatting sqref="E46:P46">
    <cfRule type="containsBlanks" dxfId="9710" priority="2492" stopIfTrue="1">
      <formula>LEN(TRIM(E46))=0</formula>
    </cfRule>
    <cfRule type="cellIs" dxfId="9709" priority="2493" stopIfTrue="1" operator="between">
      <formula>80.1</formula>
      <formula>100</formula>
    </cfRule>
    <cfRule type="cellIs" dxfId="9708" priority="2494" stopIfTrue="1" operator="between">
      <formula>35.1</formula>
      <formula>80</formula>
    </cfRule>
    <cfRule type="cellIs" dxfId="9707" priority="2495" stopIfTrue="1" operator="between">
      <formula>14.1</formula>
      <formula>35</formula>
    </cfRule>
    <cfRule type="cellIs" dxfId="9706" priority="2496" stopIfTrue="1" operator="between">
      <formula>5.1</formula>
      <formula>14</formula>
    </cfRule>
    <cfRule type="cellIs" dxfId="9705" priority="2497" stopIfTrue="1" operator="between">
      <formula>0</formula>
      <formula>5</formula>
    </cfRule>
    <cfRule type="containsBlanks" dxfId="9704" priority="2498" stopIfTrue="1">
      <formula>LEN(TRIM(E46))=0</formula>
    </cfRule>
  </conditionalFormatting>
  <conditionalFormatting sqref="L80:P80 O81:P82 E80:J80 E81:M82 E83:P83">
    <cfRule type="containsBlanks" dxfId="9703" priority="2485" stopIfTrue="1">
      <formula>LEN(TRIM(E80))=0</formula>
    </cfRule>
    <cfRule type="cellIs" dxfId="9702" priority="2486" stopIfTrue="1" operator="between">
      <formula>80.1</formula>
      <formula>100</formula>
    </cfRule>
    <cfRule type="cellIs" dxfId="9701" priority="2487" stopIfTrue="1" operator="between">
      <formula>35.1</formula>
      <formula>80</formula>
    </cfRule>
    <cfRule type="cellIs" dxfId="9700" priority="2488" stopIfTrue="1" operator="between">
      <formula>14.1</formula>
      <formula>35</formula>
    </cfRule>
    <cfRule type="cellIs" dxfId="9699" priority="2489" stopIfTrue="1" operator="between">
      <formula>5.1</formula>
      <formula>14</formula>
    </cfRule>
    <cfRule type="cellIs" dxfId="9698" priority="2490" stopIfTrue="1" operator="between">
      <formula>0</formula>
      <formula>5</formula>
    </cfRule>
    <cfRule type="containsBlanks" dxfId="9697" priority="2491" stopIfTrue="1">
      <formula>LEN(TRIM(E80))=0</formula>
    </cfRule>
  </conditionalFormatting>
  <conditionalFormatting sqref="N82">
    <cfRule type="containsBlanks" dxfId="9696" priority="2478" stopIfTrue="1">
      <formula>LEN(TRIM(N82))=0</formula>
    </cfRule>
    <cfRule type="cellIs" dxfId="9695" priority="2479" stopIfTrue="1" operator="between">
      <formula>80.1</formula>
      <formula>100</formula>
    </cfRule>
    <cfRule type="cellIs" dxfId="9694" priority="2480" stopIfTrue="1" operator="between">
      <formula>35.1</formula>
      <formula>80</formula>
    </cfRule>
    <cfRule type="cellIs" dxfId="9693" priority="2481" stopIfTrue="1" operator="between">
      <formula>14.1</formula>
      <formula>35</formula>
    </cfRule>
    <cfRule type="cellIs" dxfId="9692" priority="2482" stopIfTrue="1" operator="between">
      <formula>5.1</formula>
      <formula>14</formula>
    </cfRule>
    <cfRule type="cellIs" dxfId="9691" priority="2483" stopIfTrue="1" operator="between">
      <formula>0</formula>
      <formula>5</formula>
    </cfRule>
    <cfRule type="containsBlanks" dxfId="9690" priority="2484" stopIfTrue="1">
      <formula>LEN(TRIM(N82))=0</formula>
    </cfRule>
  </conditionalFormatting>
  <conditionalFormatting sqref="K80">
    <cfRule type="containsBlanks" dxfId="9689" priority="2471" stopIfTrue="1">
      <formula>LEN(TRIM(K80))=0</formula>
    </cfRule>
    <cfRule type="cellIs" dxfId="9688" priority="2472" stopIfTrue="1" operator="between">
      <formula>80.1</formula>
      <formula>100</formula>
    </cfRule>
    <cfRule type="cellIs" dxfId="9687" priority="2473" stopIfTrue="1" operator="between">
      <formula>35.1</formula>
      <formula>80</formula>
    </cfRule>
    <cfRule type="cellIs" dxfId="9686" priority="2474" stopIfTrue="1" operator="between">
      <formula>14.1</formula>
      <formula>35</formula>
    </cfRule>
    <cfRule type="cellIs" dxfId="9685" priority="2475" stopIfTrue="1" operator="between">
      <formula>5.1</formula>
      <formula>14</formula>
    </cfRule>
    <cfRule type="cellIs" dxfId="9684" priority="2476" stopIfTrue="1" operator="between">
      <formula>0</formula>
      <formula>5</formula>
    </cfRule>
    <cfRule type="containsBlanks" dxfId="9683" priority="2477" stopIfTrue="1">
      <formula>LEN(TRIM(K80))=0</formula>
    </cfRule>
  </conditionalFormatting>
  <conditionalFormatting sqref="M87:P87 O88:P88 N85:P85 O86:P86 E85:L85 E88:M88 E86:M86 E87:K87 E84:P84 E89:P89">
    <cfRule type="containsBlanks" dxfId="9682" priority="2464" stopIfTrue="1">
      <formula>LEN(TRIM(E84))=0</formula>
    </cfRule>
    <cfRule type="cellIs" dxfId="9681" priority="2465" stopIfTrue="1" operator="between">
      <formula>80.1</formula>
      <formula>100</formula>
    </cfRule>
    <cfRule type="cellIs" dxfId="9680" priority="2466" stopIfTrue="1" operator="between">
      <formula>35.1</formula>
      <formula>80</formula>
    </cfRule>
    <cfRule type="cellIs" dxfId="9679" priority="2467" stopIfTrue="1" operator="between">
      <formula>14.1</formula>
      <formula>35</formula>
    </cfRule>
    <cfRule type="cellIs" dxfId="9678" priority="2468" stopIfTrue="1" operator="between">
      <formula>5.1</formula>
      <formula>14</formula>
    </cfRule>
    <cfRule type="cellIs" dxfId="9677" priority="2469" stopIfTrue="1" operator="between">
      <formula>0</formula>
      <formula>5</formula>
    </cfRule>
    <cfRule type="containsBlanks" dxfId="9676" priority="2470" stopIfTrue="1">
      <formula>LEN(TRIM(E84))=0</formula>
    </cfRule>
  </conditionalFormatting>
  <conditionalFormatting sqref="L87">
    <cfRule type="containsBlanks" dxfId="9675" priority="2457" stopIfTrue="1">
      <formula>LEN(TRIM(L87))=0</formula>
    </cfRule>
    <cfRule type="cellIs" dxfId="9674" priority="2458" stopIfTrue="1" operator="between">
      <formula>80.1</formula>
      <formula>100</formula>
    </cfRule>
    <cfRule type="cellIs" dxfId="9673" priority="2459" stopIfTrue="1" operator="between">
      <formula>35.1</formula>
      <formula>80</formula>
    </cfRule>
    <cfRule type="cellIs" dxfId="9672" priority="2460" stopIfTrue="1" operator="between">
      <formula>14.1</formula>
      <formula>35</formula>
    </cfRule>
    <cfRule type="cellIs" dxfId="9671" priority="2461" stopIfTrue="1" operator="between">
      <formula>5.1</formula>
      <formula>14</formula>
    </cfRule>
    <cfRule type="cellIs" dxfId="9670" priority="2462" stopIfTrue="1" operator="between">
      <formula>0</formula>
      <formula>5</formula>
    </cfRule>
    <cfRule type="containsBlanks" dxfId="9669" priority="2463" stopIfTrue="1">
      <formula>LEN(TRIM(L87))=0</formula>
    </cfRule>
  </conditionalFormatting>
  <conditionalFormatting sqref="M85">
    <cfRule type="containsBlanks" dxfId="9668" priority="2450" stopIfTrue="1">
      <formula>LEN(TRIM(M85))=0</formula>
    </cfRule>
    <cfRule type="cellIs" dxfId="9667" priority="2451" stopIfTrue="1" operator="between">
      <formula>80.1</formula>
      <formula>100</formula>
    </cfRule>
    <cfRule type="cellIs" dxfId="9666" priority="2452" stopIfTrue="1" operator="between">
      <formula>35.1</formula>
      <formula>80</formula>
    </cfRule>
    <cfRule type="cellIs" dxfId="9665" priority="2453" stopIfTrue="1" operator="between">
      <formula>14.1</formula>
      <formula>35</formula>
    </cfRule>
    <cfRule type="cellIs" dxfId="9664" priority="2454" stopIfTrue="1" operator="between">
      <formula>5.1</formula>
      <formula>14</formula>
    </cfRule>
    <cfRule type="cellIs" dxfId="9663" priority="2455" stopIfTrue="1" operator="between">
      <formula>0</formula>
      <formula>5</formula>
    </cfRule>
    <cfRule type="containsBlanks" dxfId="9662" priority="2456" stopIfTrue="1">
      <formula>LEN(TRIM(M85))=0</formula>
    </cfRule>
  </conditionalFormatting>
  <conditionalFormatting sqref="N86">
    <cfRule type="containsBlanks" dxfId="9661" priority="2443" stopIfTrue="1">
      <formula>LEN(TRIM(N86))=0</formula>
    </cfRule>
    <cfRule type="cellIs" dxfId="9660" priority="2444" stopIfTrue="1" operator="between">
      <formula>80.1</formula>
      <formula>100</formula>
    </cfRule>
    <cfRule type="cellIs" dxfId="9659" priority="2445" stopIfTrue="1" operator="between">
      <formula>35.1</formula>
      <formula>80</formula>
    </cfRule>
    <cfRule type="cellIs" dxfId="9658" priority="2446" stopIfTrue="1" operator="between">
      <formula>14.1</formula>
      <formula>35</formula>
    </cfRule>
    <cfRule type="cellIs" dxfId="9657" priority="2447" stopIfTrue="1" operator="between">
      <formula>5.1</formula>
      <formula>14</formula>
    </cfRule>
    <cfRule type="cellIs" dxfId="9656" priority="2448" stopIfTrue="1" operator="between">
      <formula>0</formula>
      <formula>5</formula>
    </cfRule>
    <cfRule type="containsBlanks" dxfId="9655" priority="2449" stopIfTrue="1">
      <formula>LEN(TRIM(N86))=0</formula>
    </cfRule>
  </conditionalFormatting>
  <conditionalFormatting sqref="E91:P91">
    <cfRule type="containsBlanks" dxfId="9654" priority="2436" stopIfTrue="1">
      <formula>LEN(TRIM(E91))=0</formula>
    </cfRule>
    <cfRule type="cellIs" dxfId="9653" priority="2437" stopIfTrue="1" operator="between">
      <formula>80.1</formula>
      <formula>100</formula>
    </cfRule>
    <cfRule type="cellIs" dxfId="9652" priority="2438" stopIfTrue="1" operator="between">
      <formula>35.1</formula>
      <formula>80</formula>
    </cfRule>
    <cfRule type="cellIs" dxfId="9651" priority="2439" stopIfTrue="1" operator="between">
      <formula>14.1</formula>
      <formula>35</formula>
    </cfRule>
    <cfRule type="cellIs" dxfId="9650" priority="2440" stopIfTrue="1" operator="between">
      <formula>5.1</formula>
      <formula>14</formula>
    </cfRule>
    <cfRule type="cellIs" dxfId="9649" priority="2441" stopIfTrue="1" operator="between">
      <formula>0</formula>
      <formula>5</formula>
    </cfRule>
    <cfRule type="containsBlanks" dxfId="9648" priority="2442" stopIfTrue="1">
      <formula>LEN(TRIM(E91))=0</formula>
    </cfRule>
  </conditionalFormatting>
  <conditionalFormatting sqref="E139:P139">
    <cfRule type="containsBlanks" dxfId="9647" priority="2429" stopIfTrue="1">
      <formula>LEN(TRIM(E139))=0</formula>
    </cfRule>
    <cfRule type="cellIs" dxfId="9646" priority="2430" stopIfTrue="1" operator="between">
      <formula>80.1</formula>
      <formula>100</formula>
    </cfRule>
    <cfRule type="cellIs" dxfId="9645" priority="2431" stopIfTrue="1" operator="between">
      <formula>35.1</formula>
      <formula>80</formula>
    </cfRule>
    <cfRule type="cellIs" dxfId="9644" priority="2432" stopIfTrue="1" operator="between">
      <formula>14.1</formula>
      <formula>35</formula>
    </cfRule>
    <cfRule type="cellIs" dxfId="9643" priority="2433" stopIfTrue="1" operator="between">
      <formula>5.1</formula>
      <formula>14</formula>
    </cfRule>
    <cfRule type="cellIs" dxfId="9642" priority="2434" stopIfTrue="1" operator="between">
      <formula>0</formula>
      <formula>5</formula>
    </cfRule>
    <cfRule type="containsBlanks" dxfId="9641" priority="2435" stopIfTrue="1">
      <formula>LEN(TRIM(E139))=0</formula>
    </cfRule>
  </conditionalFormatting>
  <conditionalFormatting sqref="E113:Q113">
    <cfRule type="containsBlanks" dxfId="9640" priority="2422" stopIfTrue="1">
      <formula>LEN(TRIM(E113))=0</formula>
    </cfRule>
    <cfRule type="cellIs" dxfId="9639" priority="2423" stopIfTrue="1" operator="between">
      <formula>80.1</formula>
      <formula>100</formula>
    </cfRule>
    <cfRule type="cellIs" dxfId="9638" priority="2424" stopIfTrue="1" operator="between">
      <formula>35.1</formula>
      <formula>80</formula>
    </cfRule>
    <cfRule type="cellIs" dxfId="9637" priority="2425" stopIfTrue="1" operator="between">
      <formula>14.1</formula>
      <formula>35</formula>
    </cfRule>
    <cfRule type="cellIs" dxfId="9636" priority="2426" stopIfTrue="1" operator="between">
      <formula>5.1</formula>
      <formula>14</formula>
    </cfRule>
    <cfRule type="cellIs" dxfId="9635" priority="2427" stopIfTrue="1" operator="between">
      <formula>0</formula>
      <formula>5</formula>
    </cfRule>
    <cfRule type="containsBlanks" dxfId="9634" priority="2428" stopIfTrue="1">
      <formula>LEN(TRIM(E113))=0</formula>
    </cfRule>
  </conditionalFormatting>
  <conditionalFormatting sqref="E129:P129">
    <cfRule type="containsBlanks" dxfId="9633" priority="2415" stopIfTrue="1">
      <formula>LEN(TRIM(E129))=0</formula>
    </cfRule>
    <cfRule type="cellIs" dxfId="9632" priority="2416" stopIfTrue="1" operator="between">
      <formula>80.1</formula>
      <formula>100</formula>
    </cfRule>
    <cfRule type="cellIs" dxfId="9631" priority="2417" stopIfTrue="1" operator="between">
      <formula>35.1</formula>
      <formula>80</formula>
    </cfRule>
    <cfRule type="cellIs" dxfId="9630" priority="2418" stopIfTrue="1" operator="between">
      <formula>14.1</formula>
      <formula>35</formula>
    </cfRule>
    <cfRule type="cellIs" dxfId="9629" priority="2419" stopIfTrue="1" operator="between">
      <formula>5.1</formula>
      <formula>14</formula>
    </cfRule>
    <cfRule type="cellIs" dxfId="9628" priority="2420" stopIfTrue="1" operator="between">
      <formula>0</formula>
      <formula>5</formula>
    </cfRule>
    <cfRule type="containsBlanks" dxfId="9627" priority="2421" stopIfTrue="1">
      <formula>LEN(TRIM(E129))=0</formula>
    </cfRule>
  </conditionalFormatting>
  <conditionalFormatting sqref="E123:P123">
    <cfRule type="containsBlanks" dxfId="9626" priority="2408" stopIfTrue="1">
      <formula>LEN(TRIM(E123))=0</formula>
    </cfRule>
    <cfRule type="cellIs" dxfId="9625" priority="2409" stopIfTrue="1" operator="between">
      <formula>80.1</formula>
      <formula>100</formula>
    </cfRule>
    <cfRule type="cellIs" dxfId="9624" priority="2410" stopIfTrue="1" operator="between">
      <formula>35.1</formula>
      <formula>80</formula>
    </cfRule>
    <cfRule type="cellIs" dxfId="9623" priority="2411" stopIfTrue="1" operator="between">
      <formula>14.1</formula>
      <formula>35</formula>
    </cfRule>
    <cfRule type="cellIs" dxfId="9622" priority="2412" stopIfTrue="1" operator="between">
      <formula>5.1</formula>
      <formula>14</formula>
    </cfRule>
    <cfRule type="cellIs" dxfId="9621" priority="2413" stopIfTrue="1" operator="between">
      <formula>0</formula>
      <formula>5</formula>
    </cfRule>
    <cfRule type="containsBlanks" dxfId="9620" priority="2414" stopIfTrue="1">
      <formula>LEN(TRIM(E123))=0</formula>
    </cfRule>
  </conditionalFormatting>
  <conditionalFormatting sqref="E124:P124">
    <cfRule type="containsBlanks" dxfId="9619" priority="2401" stopIfTrue="1">
      <formula>LEN(TRIM(E124))=0</formula>
    </cfRule>
    <cfRule type="cellIs" dxfId="9618" priority="2402" stopIfTrue="1" operator="between">
      <formula>80.1</formula>
      <formula>100</formula>
    </cfRule>
    <cfRule type="cellIs" dxfId="9617" priority="2403" stopIfTrue="1" operator="between">
      <formula>35.1</formula>
      <formula>80</formula>
    </cfRule>
    <cfRule type="cellIs" dxfId="9616" priority="2404" stopIfTrue="1" operator="between">
      <formula>14.1</formula>
      <formula>35</formula>
    </cfRule>
    <cfRule type="cellIs" dxfId="9615" priority="2405" stopIfTrue="1" operator="between">
      <formula>5.1</formula>
      <formula>14</formula>
    </cfRule>
    <cfRule type="cellIs" dxfId="9614" priority="2406" stopIfTrue="1" operator="between">
      <formula>0</formula>
      <formula>5</formula>
    </cfRule>
    <cfRule type="containsBlanks" dxfId="9613" priority="2407" stopIfTrue="1">
      <formula>LEN(TRIM(E124))=0</formula>
    </cfRule>
  </conditionalFormatting>
  <conditionalFormatting sqref="E121:P121">
    <cfRule type="containsBlanks" dxfId="9612" priority="2394" stopIfTrue="1">
      <formula>LEN(TRIM(E121))=0</formula>
    </cfRule>
    <cfRule type="cellIs" dxfId="9611" priority="2395" stopIfTrue="1" operator="between">
      <formula>80.1</formula>
      <formula>100</formula>
    </cfRule>
    <cfRule type="cellIs" dxfId="9610" priority="2396" stopIfTrue="1" operator="between">
      <formula>35.1</formula>
      <formula>80</formula>
    </cfRule>
    <cfRule type="cellIs" dxfId="9609" priority="2397" stopIfTrue="1" operator="between">
      <formula>14.1</formula>
      <formula>35</formula>
    </cfRule>
    <cfRule type="cellIs" dxfId="9608" priority="2398" stopIfTrue="1" operator="between">
      <formula>5.1</formula>
      <formula>14</formula>
    </cfRule>
    <cfRule type="cellIs" dxfId="9607" priority="2399" stopIfTrue="1" operator="between">
      <formula>0</formula>
      <formula>5</formula>
    </cfRule>
    <cfRule type="containsBlanks" dxfId="9606" priority="2400" stopIfTrue="1">
      <formula>LEN(TRIM(E121))=0</formula>
    </cfRule>
  </conditionalFormatting>
  <conditionalFormatting sqref="E102:P102">
    <cfRule type="containsBlanks" dxfId="9605" priority="2387" stopIfTrue="1">
      <formula>LEN(TRIM(E102))=0</formula>
    </cfRule>
    <cfRule type="cellIs" dxfId="9604" priority="2388" stopIfTrue="1" operator="between">
      <formula>80.1</formula>
      <formula>100</formula>
    </cfRule>
    <cfRule type="cellIs" dxfId="9603" priority="2389" stopIfTrue="1" operator="between">
      <formula>35.1</formula>
      <formula>80</formula>
    </cfRule>
    <cfRule type="cellIs" dxfId="9602" priority="2390" stopIfTrue="1" operator="between">
      <formula>14.1</formula>
      <formula>35</formula>
    </cfRule>
    <cfRule type="cellIs" dxfId="9601" priority="2391" stopIfTrue="1" operator="between">
      <formula>5.1</formula>
      <formula>14</formula>
    </cfRule>
    <cfRule type="cellIs" dxfId="9600" priority="2392" stopIfTrue="1" operator="between">
      <formula>0</formula>
      <formula>5</formula>
    </cfRule>
    <cfRule type="containsBlanks" dxfId="9599" priority="2393" stopIfTrue="1">
      <formula>LEN(TRIM(E102))=0</formula>
    </cfRule>
  </conditionalFormatting>
  <conditionalFormatting sqref="E114:P114">
    <cfRule type="containsBlanks" dxfId="9598" priority="2380" stopIfTrue="1">
      <formula>LEN(TRIM(E114))=0</formula>
    </cfRule>
    <cfRule type="cellIs" dxfId="9597" priority="2381" stopIfTrue="1" operator="between">
      <formula>80.1</formula>
      <formula>100</formula>
    </cfRule>
    <cfRule type="cellIs" dxfId="9596" priority="2382" stopIfTrue="1" operator="between">
      <formula>35.1</formula>
      <formula>80</formula>
    </cfRule>
    <cfRule type="cellIs" dxfId="9595" priority="2383" stopIfTrue="1" operator="between">
      <formula>14.1</formula>
      <formula>35</formula>
    </cfRule>
    <cfRule type="cellIs" dxfId="9594" priority="2384" stopIfTrue="1" operator="between">
      <formula>5.1</formula>
      <formula>14</formula>
    </cfRule>
    <cfRule type="cellIs" dxfId="9593" priority="2385" stopIfTrue="1" operator="between">
      <formula>0</formula>
      <formula>5</formula>
    </cfRule>
    <cfRule type="containsBlanks" dxfId="9592" priority="2386" stopIfTrue="1">
      <formula>LEN(TRIM(E114))=0</formula>
    </cfRule>
  </conditionalFormatting>
  <conditionalFormatting sqref="E126:P126">
    <cfRule type="containsBlanks" dxfId="9591" priority="2373" stopIfTrue="1">
      <formula>LEN(TRIM(E126))=0</formula>
    </cfRule>
    <cfRule type="cellIs" dxfId="9590" priority="2374" stopIfTrue="1" operator="between">
      <formula>80.1</formula>
      <formula>100</formula>
    </cfRule>
    <cfRule type="cellIs" dxfId="9589" priority="2375" stopIfTrue="1" operator="between">
      <formula>35.1</formula>
      <formula>80</formula>
    </cfRule>
    <cfRule type="cellIs" dxfId="9588" priority="2376" stopIfTrue="1" operator="between">
      <formula>14.1</formula>
      <formula>35</formula>
    </cfRule>
    <cfRule type="cellIs" dxfId="9587" priority="2377" stopIfTrue="1" operator="between">
      <formula>5.1</formula>
      <formula>14</formula>
    </cfRule>
    <cfRule type="cellIs" dxfId="9586" priority="2378" stopIfTrue="1" operator="between">
      <formula>0</formula>
      <formula>5</formula>
    </cfRule>
    <cfRule type="containsBlanks" dxfId="9585" priority="2379" stopIfTrue="1">
      <formula>LEN(TRIM(E126))=0</formula>
    </cfRule>
  </conditionalFormatting>
  <conditionalFormatting sqref="E117:P117">
    <cfRule type="containsBlanks" dxfId="9584" priority="2366" stopIfTrue="1">
      <formula>LEN(TRIM(E117))=0</formula>
    </cfRule>
    <cfRule type="cellIs" dxfId="9583" priority="2367" stopIfTrue="1" operator="between">
      <formula>80.1</formula>
      <formula>100</formula>
    </cfRule>
    <cfRule type="cellIs" dxfId="9582" priority="2368" stopIfTrue="1" operator="between">
      <formula>35.1</formula>
      <formula>80</formula>
    </cfRule>
    <cfRule type="cellIs" dxfId="9581" priority="2369" stopIfTrue="1" operator="between">
      <formula>14.1</formula>
      <formula>35</formula>
    </cfRule>
    <cfRule type="cellIs" dxfId="9580" priority="2370" stopIfTrue="1" operator="between">
      <formula>5.1</formula>
      <formula>14</formula>
    </cfRule>
    <cfRule type="cellIs" dxfId="9579" priority="2371" stopIfTrue="1" operator="between">
      <formula>0</formula>
      <formula>5</formula>
    </cfRule>
    <cfRule type="containsBlanks" dxfId="9578" priority="2372" stopIfTrue="1">
      <formula>LEN(TRIM(E117))=0</formula>
    </cfRule>
  </conditionalFormatting>
  <conditionalFormatting sqref="E98:P98">
    <cfRule type="containsBlanks" dxfId="9577" priority="2359" stopIfTrue="1">
      <formula>LEN(TRIM(E98))=0</formula>
    </cfRule>
    <cfRule type="cellIs" dxfId="9576" priority="2360" stopIfTrue="1" operator="between">
      <formula>80.1</formula>
      <formula>100</formula>
    </cfRule>
    <cfRule type="cellIs" dxfId="9575" priority="2361" stopIfTrue="1" operator="between">
      <formula>35.1</formula>
      <formula>80</formula>
    </cfRule>
    <cfRule type="cellIs" dxfId="9574" priority="2362" stopIfTrue="1" operator="between">
      <formula>14.1</formula>
      <formula>35</formula>
    </cfRule>
    <cfRule type="cellIs" dxfId="9573" priority="2363" stopIfTrue="1" operator="between">
      <formula>5.1</formula>
      <formula>14</formula>
    </cfRule>
    <cfRule type="cellIs" dxfId="9572" priority="2364" stopIfTrue="1" operator="between">
      <formula>0</formula>
      <formula>5</formula>
    </cfRule>
    <cfRule type="containsBlanks" dxfId="9571" priority="2365" stopIfTrue="1">
      <formula>LEN(TRIM(E98))=0</formula>
    </cfRule>
  </conditionalFormatting>
  <conditionalFormatting sqref="E133:P133">
    <cfRule type="containsBlanks" dxfId="9570" priority="2352" stopIfTrue="1">
      <formula>LEN(TRIM(E133))=0</formula>
    </cfRule>
    <cfRule type="cellIs" dxfId="9569" priority="2353" stopIfTrue="1" operator="between">
      <formula>80.1</formula>
      <formula>100</formula>
    </cfRule>
    <cfRule type="cellIs" dxfId="9568" priority="2354" stopIfTrue="1" operator="between">
      <formula>35.1</formula>
      <formula>80</formula>
    </cfRule>
    <cfRule type="cellIs" dxfId="9567" priority="2355" stopIfTrue="1" operator="between">
      <formula>14.1</formula>
      <formula>35</formula>
    </cfRule>
    <cfRule type="cellIs" dxfId="9566" priority="2356" stopIfTrue="1" operator="between">
      <formula>5.1</formula>
      <formula>14</formula>
    </cfRule>
    <cfRule type="cellIs" dxfId="9565" priority="2357" stopIfTrue="1" operator="between">
      <formula>0</formula>
      <formula>5</formula>
    </cfRule>
    <cfRule type="containsBlanks" dxfId="9564" priority="2358" stopIfTrue="1">
      <formula>LEN(TRIM(E133))=0</formula>
    </cfRule>
  </conditionalFormatting>
  <conditionalFormatting sqref="E140:P140">
    <cfRule type="containsBlanks" dxfId="9563" priority="2345" stopIfTrue="1">
      <formula>LEN(TRIM(E140))=0</formula>
    </cfRule>
    <cfRule type="cellIs" dxfId="9562" priority="2346" stopIfTrue="1" operator="between">
      <formula>80.1</formula>
      <formula>100</formula>
    </cfRule>
    <cfRule type="cellIs" dxfId="9561" priority="2347" stopIfTrue="1" operator="between">
      <formula>35.1</formula>
      <formula>80</formula>
    </cfRule>
    <cfRule type="cellIs" dxfId="9560" priority="2348" stopIfTrue="1" operator="between">
      <formula>14.1</formula>
      <formula>35</formula>
    </cfRule>
    <cfRule type="cellIs" dxfId="9559" priority="2349" stopIfTrue="1" operator="between">
      <formula>5.1</formula>
      <formula>14</formula>
    </cfRule>
    <cfRule type="cellIs" dxfId="9558" priority="2350" stopIfTrue="1" operator="between">
      <formula>0</formula>
      <formula>5</formula>
    </cfRule>
    <cfRule type="containsBlanks" dxfId="9557" priority="2351" stopIfTrue="1">
      <formula>LEN(TRIM(E140))=0</formula>
    </cfRule>
  </conditionalFormatting>
  <conditionalFormatting sqref="E119:P119">
    <cfRule type="containsBlanks" dxfId="9556" priority="2338" stopIfTrue="1">
      <formula>LEN(TRIM(E119))=0</formula>
    </cfRule>
    <cfRule type="cellIs" dxfId="9555" priority="2339" stopIfTrue="1" operator="between">
      <formula>80.1</formula>
      <formula>100</formula>
    </cfRule>
    <cfRule type="cellIs" dxfId="9554" priority="2340" stopIfTrue="1" operator="between">
      <formula>35.1</formula>
      <formula>80</formula>
    </cfRule>
    <cfRule type="cellIs" dxfId="9553" priority="2341" stopIfTrue="1" operator="between">
      <formula>14.1</formula>
      <formula>35</formula>
    </cfRule>
    <cfRule type="cellIs" dxfId="9552" priority="2342" stopIfTrue="1" operator="between">
      <formula>5.1</formula>
      <formula>14</formula>
    </cfRule>
    <cfRule type="cellIs" dxfId="9551" priority="2343" stopIfTrue="1" operator="between">
      <formula>0</formula>
      <formula>5</formula>
    </cfRule>
    <cfRule type="containsBlanks" dxfId="9550" priority="2344" stopIfTrue="1">
      <formula>LEN(TRIM(E119))=0</formula>
    </cfRule>
  </conditionalFormatting>
  <conditionalFormatting sqref="E147:P147">
    <cfRule type="containsBlanks" dxfId="9549" priority="2331" stopIfTrue="1">
      <formula>LEN(TRIM(E147))=0</formula>
    </cfRule>
    <cfRule type="cellIs" dxfId="9548" priority="2332" stopIfTrue="1" operator="between">
      <formula>80.1</formula>
      <formula>100</formula>
    </cfRule>
    <cfRule type="cellIs" dxfId="9547" priority="2333" stopIfTrue="1" operator="between">
      <formula>35.1</formula>
      <formula>80</formula>
    </cfRule>
    <cfRule type="cellIs" dxfId="9546" priority="2334" stopIfTrue="1" operator="between">
      <formula>14.1</formula>
      <formula>35</formula>
    </cfRule>
    <cfRule type="cellIs" dxfId="9545" priority="2335" stopIfTrue="1" operator="between">
      <formula>5.1</formula>
      <formula>14</formula>
    </cfRule>
    <cfRule type="cellIs" dxfId="9544" priority="2336" stopIfTrue="1" operator="between">
      <formula>0</formula>
      <formula>5</formula>
    </cfRule>
    <cfRule type="containsBlanks" dxfId="9543" priority="2337" stopIfTrue="1">
      <formula>LEN(TRIM(E147))=0</formula>
    </cfRule>
  </conditionalFormatting>
  <conditionalFormatting sqref="E122:P122">
    <cfRule type="containsBlanks" dxfId="9542" priority="2324" stopIfTrue="1">
      <formula>LEN(TRIM(E122))=0</formula>
    </cfRule>
    <cfRule type="cellIs" dxfId="9541" priority="2325" stopIfTrue="1" operator="between">
      <formula>80.1</formula>
      <formula>100</formula>
    </cfRule>
    <cfRule type="cellIs" dxfId="9540" priority="2326" stopIfTrue="1" operator="between">
      <formula>35.1</formula>
      <formula>80</formula>
    </cfRule>
    <cfRule type="cellIs" dxfId="9539" priority="2327" stopIfTrue="1" operator="between">
      <formula>14.1</formula>
      <formula>35</formula>
    </cfRule>
    <cfRule type="cellIs" dxfId="9538" priority="2328" stopIfTrue="1" operator="between">
      <formula>5.1</formula>
      <formula>14</formula>
    </cfRule>
    <cfRule type="cellIs" dxfId="9537" priority="2329" stopIfTrue="1" operator="between">
      <formula>0</formula>
      <formula>5</formula>
    </cfRule>
    <cfRule type="containsBlanks" dxfId="9536" priority="2330" stopIfTrue="1">
      <formula>LEN(TRIM(E122))=0</formula>
    </cfRule>
  </conditionalFormatting>
  <conditionalFormatting sqref="E106:P106">
    <cfRule type="containsBlanks" dxfId="9535" priority="2317" stopIfTrue="1">
      <formula>LEN(TRIM(E106))=0</formula>
    </cfRule>
    <cfRule type="cellIs" dxfId="9534" priority="2318" stopIfTrue="1" operator="between">
      <formula>80.1</formula>
      <formula>100</formula>
    </cfRule>
    <cfRule type="cellIs" dxfId="9533" priority="2319" stopIfTrue="1" operator="between">
      <formula>35.1</formula>
      <formula>80</formula>
    </cfRule>
    <cfRule type="cellIs" dxfId="9532" priority="2320" stopIfTrue="1" operator="between">
      <formula>14.1</formula>
      <formula>35</formula>
    </cfRule>
    <cfRule type="cellIs" dxfId="9531" priority="2321" stopIfTrue="1" operator="between">
      <formula>5.1</formula>
      <formula>14</formula>
    </cfRule>
    <cfRule type="cellIs" dxfId="9530" priority="2322" stopIfTrue="1" operator="between">
      <formula>0</formula>
      <formula>5</formula>
    </cfRule>
    <cfRule type="containsBlanks" dxfId="9529" priority="2323" stopIfTrue="1">
      <formula>LEN(TRIM(E106))=0</formula>
    </cfRule>
  </conditionalFormatting>
  <conditionalFormatting sqref="E115:P115">
    <cfRule type="containsBlanks" dxfId="9528" priority="2310" stopIfTrue="1">
      <formula>LEN(TRIM(E115))=0</formula>
    </cfRule>
    <cfRule type="cellIs" dxfId="9527" priority="2311" stopIfTrue="1" operator="between">
      <formula>80.1</formula>
      <formula>100</formula>
    </cfRule>
    <cfRule type="cellIs" dxfId="9526" priority="2312" stopIfTrue="1" operator="between">
      <formula>35.1</formula>
      <formula>80</formula>
    </cfRule>
    <cfRule type="cellIs" dxfId="9525" priority="2313" stopIfTrue="1" operator="between">
      <formula>14.1</formula>
      <formula>35</formula>
    </cfRule>
    <cfRule type="cellIs" dxfId="9524" priority="2314" stopIfTrue="1" operator="between">
      <formula>5.1</formula>
      <formula>14</formula>
    </cfRule>
    <cfRule type="cellIs" dxfId="9523" priority="2315" stopIfTrue="1" operator="between">
      <formula>0</formula>
      <formula>5</formula>
    </cfRule>
    <cfRule type="containsBlanks" dxfId="9522" priority="2316" stopIfTrue="1">
      <formula>LEN(TRIM(E115))=0</formula>
    </cfRule>
  </conditionalFormatting>
  <conditionalFormatting sqref="E116:P116">
    <cfRule type="containsBlanks" dxfId="9521" priority="2303" stopIfTrue="1">
      <formula>LEN(TRIM(E116))=0</formula>
    </cfRule>
    <cfRule type="cellIs" dxfId="9520" priority="2304" stopIfTrue="1" operator="between">
      <formula>80.1</formula>
      <formula>100</formula>
    </cfRule>
    <cfRule type="cellIs" dxfId="9519" priority="2305" stopIfTrue="1" operator="between">
      <formula>35.1</formula>
      <formula>80</formula>
    </cfRule>
    <cfRule type="cellIs" dxfId="9518" priority="2306" stopIfTrue="1" operator="between">
      <formula>14.1</formula>
      <formula>35</formula>
    </cfRule>
    <cfRule type="cellIs" dxfId="9517" priority="2307" stopIfTrue="1" operator="between">
      <formula>5.1</formula>
      <formula>14</formula>
    </cfRule>
    <cfRule type="cellIs" dxfId="9516" priority="2308" stopIfTrue="1" operator="between">
      <formula>0</formula>
      <formula>5</formula>
    </cfRule>
    <cfRule type="containsBlanks" dxfId="9515" priority="2309" stopIfTrue="1">
      <formula>LEN(TRIM(E116))=0</formula>
    </cfRule>
  </conditionalFormatting>
  <conditionalFormatting sqref="E141:P141">
    <cfRule type="containsBlanks" dxfId="9514" priority="2296" stopIfTrue="1">
      <formula>LEN(TRIM(E141))=0</formula>
    </cfRule>
    <cfRule type="cellIs" dxfId="9513" priority="2297" stopIfTrue="1" operator="between">
      <formula>80.1</formula>
      <formula>100</formula>
    </cfRule>
    <cfRule type="cellIs" dxfId="9512" priority="2298" stopIfTrue="1" operator="between">
      <formula>35.1</formula>
      <formula>80</formula>
    </cfRule>
    <cfRule type="cellIs" dxfId="9511" priority="2299" stopIfTrue="1" operator="between">
      <formula>14.1</formula>
      <formula>35</formula>
    </cfRule>
    <cfRule type="cellIs" dxfId="9510" priority="2300" stopIfTrue="1" operator="between">
      <formula>5.1</formula>
      <formula>14</formula>
    </cfRule>
    <cfRule type="cellIs" dxfId="9509" priority="2301" stopIfTrue="1" operator="between">
      <formula>0</formula>
      <formula>5</formula>
    </cfRule>
    <cfRule type="containsBlanks" dxfId="9508" priority="2302" stopIfTrue="1">
      <formula>LEN(TRIM(E141))=0</formula>
    </cfRule>
  </conditionalFormatting>
  <conditionalFormatting sqref="E105:P105">
    <cfRule type="containsBlanks" dxfId="9507" priority="2289" stopIfTrue="1">
      <formula>LEN(TRIM(E105))=0</formula>
    </cfRule>
    <cfRule type="cellIs" dxfId="9506" priority="2290" stopIfTrue="1" operator="between">
      <formula>80.1</formula>
      <formula>100</formula>
    </cfRule>
    <cfRule type="cellIs" dxfId="9505" priority="2291" stopIfTrue="1" operator="between">
      <formula>35.1</formula>
      <formula>80</formula>
    </cfRule>
    <cfRule type="cellIs" dxfId="9504" priority="2292" stopIfTrue="1" operator="between">
      <formula>14.1</formula>
      <formula>35</formula>
    </cfRule>
    <cfRule type="cellIs" dxfId="9503" priority="2293" stopIfTrue="1" operator="between">
      <formula>5.1</formula>
      <formula>14</formula>
    </cfRule>
    <cfRule type="cellIs" dxfId="9502" priority="2294" stopIfTrue="1" operator="between">
      <formula>0</formula>
      <formula>5</formula>
    </cfRule>
    <cfRule type="containsBlanks" dxfId="9501" priority="2295" stopIfTrue="1">
      <formula>LEN(TRIM(E105))=0</formula>
    </cfRule>
  </conditionalFormatting>
  <conditionalFormatting sqref="E135:P135">
    <cfRule type="containsBlanks" dxfId="9500" priority="2282" stopIfTrue="1">
      <formula>LEN(TRIM(E135))=0</formula>
    </cfRule>
    <cfRule type="cellIs" dxfId="9499" priority="2283" stopIfTrue="1" operator="between">
      <formula>80.1</formula>
      <formula>100</formula>
    </cfRule>
    <cfRule type="cellIs" dxfId="9498" priority="2284" stopIfTrue="1" operator="between">
      <formula>35.1</formula>
      <formula>80</formula>
    </cfRule>
    <cfRule type="cellIs" dxfId="9497" priority="2285" stopIfTrue="1" operator="between">
      <formula>14.1</formula>
      <formula>35</formula>
    </cfRule>
    <cfRule type="cellIs" dxfId="9496" priority="2286" stopIfTrue="1" operator="between">
      <formula>5.1</formula>
      <formula>14</formula>
    </cfRule>
    <cfRule type="cellIs" dxfId="9495" priority="2287" stopIfTrue="1" operator="between">
      <formula>0</formula>
      <formula>5</formula>
    </cfRule>
    <cfRule type="containsBlanks" dxfId="9494" priority="2288" stopIfTrue="1">
      <formula>LEN(TRIM(E135))=0</formula>
    </cfRule>
  </conditionalFormatting>
  <conditionalFormatting sqref="E125:P125">
    <cfRule type="containsBlanks" dxfId="9493" priority="2275" stopIfTrue="1">
      <formula>LEN(TRIM(E125))=0</formula>
    </cfRule>
    <cfRule type="cellIs" dxfId="9492" priority="2276" stopIfTrue="1" operator="between">
      <formula>80.1</formula>
      <formula>100</formula>
    </cfRule>
    <cfRule type="cellIs" dxfId="9491" priority="2277" stopIfTrue="1" operator="between">
      <formula>35.1</formula>
      <formula>80</formula>
    </cfRule>
    <cfRule type="cellIs" dxfId="9490" priority="2278" stopIfTrue="1" operator="between">
      <formula>14.1</formula>
      <formula>35</formula>
    </cfRule>
    <cfRule type="cellIs" dxfId="9489" priority="2279" stopIfTrue="1" operator="between">
      <formula>5.1</formula>
      <formula>14</formula>
    </cfRule>
    <cfRule type="cellIs" dxfId="9488" priority="2280" stopIfTrue="1" operator="between">
      <formula>0</formula>
      <formula>5</formula>
    </cfRule>
    <cfRule type="containsBlanks" dxfId="9487" priority="2281" stopIfTrue="1">
      <formula>LEN(TRIM(E125))=0</formula>
    </cfRule>
  </conditionalFormatting>
  <conditionalFormatting sqref="E137:P137">
    <cfRule type="containsBlanks" dxfId="9486" priority="2268" stopIfTrue="1">
      <formula>LEN(TRIM(E137))=0</formula>
    </cfRule>
    <cfRule type="cellIs" dxfId="9485" priority="2269" stopIfTrue="1" operator="between">
      <formula>80.1</formula>
      <formula>100</formula>
    </cfRule>
    <cfRule type="cellIs" dxfId="9484" priority="2270" stopIfTrue="1" operator="between">
      <formula>35.1</formula>
      <formula>80</formula>
    </cfRule>
    <cfRule type="cellIs" dxfId="9483" priority="2271" stopIfTrue="1" operator="between">
      <formula>14.1</formula>
      <formula>35</formula>
    </cfRule>
    <cfRule type="cellIs" dxfId="9482" priority="2272" stopIfTrue="1" operator="between">
      <formula>5.1</formula>
      <formula>14</formula>
    </cfRule>
    <cfRule type="cellIs" dxfId="9481" priority="2273" stopIfTrue="1" operator="between">
      <formula>0</formula>
      <formula>5</formula>
    </cfRule>
    <cfRule type="containsBlanks" dxfId="9480" priority="2274" stopIfTrue="1">
      <formula>LEN(TRIM(E137))=0</formula>
    </cfRule>
  </conditionalFormatting>
  <conditionalFormatting sqref="E100:P100">
    <cfRule type="containsBlanks" dxfId="9479" priority="2261" stopIfTrue="1">
      <formula>LEN(TRIM(E100))=0</formula>
    </cfRule>
    <cfRule type="cellIs" dxfId="9478" priority="2262" stopIfTrue="1" operator="between">
      <formula>80.1</formula>
      <formula>100</formula>
    </cfRule>
    <cfRule type="cellIs" dxfId="9477" priority="2263" stopIfTrue="1" operator="between">
      <formula>35.1</formula>
      <formula>80</formula>
    </cfRule>
    <cfRule type="cellIs" dxfId="9476" priority="2264" stopIfTrue="1" operator="between">
      <formula>14.1</formula>
      <formula>35</formula>
    </cfRule>
    <cfRule type="cellIs" dxfId="9475" priority="2265" stopIfTrue="1" operator="between">
      <formula>5.1</formula>
      <formula>14</formula>
    </cfRule>
    <cfRule type="cellIs" dxfId="9474" priority="2266" stopIfTrue="1" operator="between">
      <formula>0</formula>
      <formula>5</formula>
    </cfRule>
    <cfRule type="containsBlanks" dxfId="9473" priority="2267" stopIfTrue="1">
      <formula>LEN(TRIM(E100))=0</formula>
    </cfRule>
  </conditionalFormatting>
  <conditionalFormatting sqref="E127:P127">
    <cfRule type="containsBlanks" dxfId="9472" priority="2254" stopIfTrue="1">
      <formula>LEN(TRIM(E127))=0</formula>
    </cfRule>
    <cfRule type="cellIs" dxfId="9471" priority="2255" stopIfTrue="1" operator="between">
      <formula>80.1</formula>
      <formula>100</formula>
    </cfRule>
    <cfRule type="cellIs" dxfId="9470" priority="2256" stopIfTrue="1" operator="between">
      <formula>35.1</formula>
      <formula>80</formula>
    </cfRule>
    <cfRule type="cellIs" dxfId="9469" priority="2257" stopIfTrue="1" operator="between">
      <formula>14.1</formula>
      <formula>35</formula>
    </cfRule>
    <cfRule type="cellIs" dxfId="9468" priority="2258" stopIfTrue="1" operator="between">
      <formula>5.1</formula>
      <formula>14</formula>
    </cfRule>
    <cfRule type="cellIs" dxfId="9467" priority="2259" stopIfTrue="1" operator="between">
      <formula>0</formula>
      <formula>5</formula>
    </cfRule>
    <cfRule type="containsBlanks" dxfId="9466" priority="2260" stopIfTrue="1">
      <formula>LEN(TRIM(E127))=0</formula>
    </cfRule>
  </conditionalFormatting>
  <conditionalFormatting sqref="E144:P144">
    <cfRule type="containsBlanks" dxfId="9465" priority="2247" stopIfTrue="1">
      <formula>LEN(TRIM(E144))=0</formula>
    </cfRule>
    <cfRule type="cellIs" dxfId="9464" priority="2248" stopIfTrue="1" operator="between">
      <formula>80.1</formula>
      <formula>100</formula>
    </cfRule>
    <cfRule type="cellIs" dxfId="9463" priority="2249" stopIfTrue="1" operator="between">
      <formula>35.1</formula>
      <formula>80</formula>
    </cfRule>
    <cfRule type="cellIs" dxfId="9462" priority="2250" stopIfTrue="1" operator="between">
      <formula>14.1</formula>
      <formula>35</formula>
    </cfRule>
    <cfRule type="cellIs" dxfId="9461" priority="2251" stopIfTrue="1" operator="between">
      <formula>5.1</formula>
      <formula>14</formula>
    </cfRule>
    <cfRule type="cellIs" dxfId="9460" priority="2252" stopIfTrue="1" operator="between">
      <formula>0</formula>
      <formula>5</formula>
    </cfRule>
    <cfRule type="containsBlanks" dxfId="9459" priority="2253" stopIfTrue="1">
      <formula>LEN(TRIM(E144))=0</formula>
    </cfRule>
  </conditionalFormatting>
  <conditionalFormatting sqref="E118:P118">
    <cfRule type="containsBlanks" dxfId="9458" priority="2240" stopIfTrue="1">
      <formula>LEN(TRIM(E118))=0</formula>
    </cfRule>
    <cfRule type="cellIs" dxfId="9457" priority="2241" stopIfTrue="1" operator="between">
      <formula>80.1</formula>
      <formula>100</formula>
    </cfRule>
    <cfRule type="cellIs" dxfId="9456" priority="2242" stopIfTrue="1" operator="between">
      <formula>35.1</formula>
      <formula>80</formula>
    </cfRule>
    <cfRule type="cellIs" dxfId="9455" priority="2243" stopIfTrue="1" operator="between">
      <formula>14.1</formula>
      <formula>35</formula>
    </cfRule>
    <cfRule type="cellIs" dxfId="9454" priority="2244" stopIfTrue="1" operator="between">
      <formula>5.1</formula>
      <formula>14</formula>
    </cfRule>
    <cfRule type="cellIs" dxfId="9453" priority="2245" stopIfTrue="1" operator="between">
      <formula>0</formula>
      <formula>5</formula>
    </cfRule>
    <cfRule type="containsBlanks" dxfId="9452" priority="2246" stopIfTrue="1">
      <formula>LEN(TRIM(E118))=0</formula>
    </cfRule>
  </conditionalFormatting>
  <conditionalFormatting sqref="E104:P104">
    <cfRule type="containsBlanks" dxfId="9451" priority="2233" stopIfTrue="1">
      <formula>LEN(TRIM(E104))=0</formula>
    </cfRule>
    <cfRule type="cellIs" dxfId="9450" priority="2234" stopIfTrue="1" operator="between">
      <formula>80.1</formula>
      <formula>100</formula>
    </cfRule>
    <cfRule type="cellIs" dxfId="9449" priority="2235" stopIfTrue="1" operator="between">
      <formula>35.1</formula>
      <formula>80</formula>
    </cfRule>
    <cfRule type="cellIs" dxfId="9448" priority="2236" stopIfTrue="1" operator="between">
      <formula>14.1</formula>
      <formula>35</formula>
    </cfRule>
    <cfRule type="cellIs" dxfId="9447" priority="2237" stopIfTrue="1" operator="between">
      <formula>5.1</formula>
      <formula>14</formula>
    </cfRule>
    <cfRule type="cellIs" dxfId="9446" priority="2238" stopIfTrue="1" operator="between">
      <formula>0</formula>
      <formula>5</formula>
    </cfRule>
    <cfRule type="containsBlanks" dxfId="9445" priority="2239" stopIfTrue="1">
      <formula>LEN(TRIM(E104))=0</formula>
    </cfRule>
  </conditionalFormatting>
  <conditionalFormatting sqref="E107:Q107">
    <cfRule type="containsBlanks" dxfId="9444" priority="2226" stopIfTrue="1">
      <formula>LEN(TRIM(E107))=0</formula>
    </cfRule>
    <cfRule type="cellIs" dxfId="9443" priority="2227" stopIfTrue="1" operator="between">
      <formula>80.1</formula>
      <formula>100</formula>
    </cfRule>
    <cfRule type="cellIs" dxfId="9442" priority="2228" stopIfTrue="1" operator="between">
      <formula>35.1</formula>
      <formula>80</formula>
    </cfRule>
    <cfRule type="cellIs" dxfId="9441" priority="2229" stopIfTrue="1" operator="between">
      <formula>14.1</formula>
      <formula>35</formula>
    </cfRule>
    <cfRule type="cellIs" dxfId="9440" priority="2230" stopIfTrue="1" operator="between">
      <formula>5.1</formula>
      <formula>14</formula>
    </cfRule>
    <cfRule type="cellIs" dxfId="9439" priority="2231" stopIfTrue="1" operator="between">
      <formula>0</formula>
      <formula>5</formula>
    </cfRule>
    <cfRule type="containsBlanks" dxfId="9438" priority="2232" stopIfTrue="1">
      <formula>LEN(TRIM(E107))=0</formula>
    </cfRule>
  </conditionalFormatting>
  <conditionalFormatting sqref="E150:P161">
    <cfRule type="containsBlanks" dxfId="9437" priority="2219" stopIfTrue="1">
      <formula>LEN(TRIM(E150))=0</formula>
    </cfRule>
    <cfRule type="cellIs" dxfId="9436" priority="2220" stopIfTrue="1" operator="between">
      <formula>80.1</formula>
      <formula>100</formula>
    </cfRule>
    <cfRule type="cellIs" dxfId="9435" priority="2221" stopIfTrue="1" operator="between">
      <formula>35.1</formula>
      <formula>80</formula>
    </cfRule>
    <cfRule type="cellIs" dxfId="9434" priority="2222" stopIfTrue="1" operator="between">
      <formula>14.1</formula>
      <formula>35</formula>
    </cfRule>
    <cfRule type="cellIs" dxfId="9433" priority="2223" stopIfTrue="1" operator="between">
      <formula>5.1</formula>
      <formula>14</formula>
    </cfRule>
    <cfRule type="cellIs" dxfId="9432" priority="2224" stopIfTrue="1" operator="between">
      <formula>0</formula>
      <formula>5</formula>
    </cfRule>
    <cfRule type="containsBlanks" dxfId="9431" priority="2225" stopIfTrue="1">
      <formula>LEN(TRIM(E150))=0</formula>
    </cfRule>
  </conditionalFormatting>
  <conditionalFormatting sqref="E165:P169">
    <cfRule type="containsBlanks" dxfId="9430" priority="2212" stopIfTrue="1">
      <formula>LEN(TRIM(E165))=0</formula>
    </cfRule>
    <cfRule type="cellIs" dxfId="9429" priority="2213" stopIfTrue="1" operator="between">
      <formula>80.1</formula>
      <formula>100</formula>
    </cfRule>
    <cfRule type="cellIs" dxfId="9428" priority="2214" stopIfTrue="1" operator="between">
      <formula>35.1</formula>
      <formula>80</formula>
    </cfRule>
    <cfRule type="cellIs" dxfId="9427" priority="2215" stopIfTrue="1" operator="between">
      <formula>14.1</formula>
      <formula>35</formula>
    </cfRule>
    <cfRule type="cellIs" dxfId="9426" priority="2216" stopIfTrue="1" operator="between">
      <formula>5.1</formula>
      <formula>14</formula>
    </cfRule>
    <cfRule type="cellIs" dxfId="9425" priority="2217" stopIfTrue="1" operator="between">
      <formula>0</formula>
      <formula>5</formula>
    </cfRule>
    <cfRule type="containsBlanks" dxfId="9424" priority="2218" stopIfTrue="1">
      <formula>LEN(TRIM(E165))=0</formula>
    </cfRule>
  </conditionalFormatting>
  <conditionalFormatting sqref="E174:P178">
    <cfRule type="containsBlanks" dxfId="9423" priority="2205" stopIfTrue="1">
      <formula>LEN(TRIM(E174))=0</formula>
    </cfRule>
    <cfRule type="cellIs" dxfId="9422" priority="2206" stopIfTrue="1" operator="between">
      <formula>80.1</formula>
      <formula>100</formula>
    </cfRule>
    <cfRule type="cellIs" dxfId="9421" priority="2207" stopIfTrue="1" operator="between">
      <formula>35.1</formula>
      <formula>80</formula>
    </cfRule>
    <cfRule type="cellIs" dxfId="9420" priority="2208" stopIfTrue="1" operator="between">
      <formula>14.1</formula>
      <formula>35</formula>
    </cfRule>
    <cfRule type="cellIs" dxfId="9419" priority="2209" stopIfTrue="1" operator="between">
      <formula>5.1</formula>
      <formula>14</formula>
    </cfRule>
    <cfRule type="cellIs" dxfId="9418" priority="2210" stopIfTrue="1" operator="between">
      <formula>0</formula>
      <formula>5</formula>
    </cfRule>
    <cfRule type="containsBlanks" dxfId="9417" priority="2211" stopIfTrue="1">
      <formula>LEN(TRIM(E174))=0</formula>
    </cfRule>
  </conditionalFormatting>
  <conditionalFormatting sqref="E162:P163">
    <cfRule type="containsBlanks" dxfId="9416" priority="2198" stopIfTrue="1">
      <formula>LEN(TRIM(E162))=0</formula>
    </cfRule>
    <cfRule type="cellIs" dxfId="9415" priority="2199" stopIfTrue="1" operator="between">
      <formula>80.1</formula>
      <formula>100</formula>
    </cfRule>
    <cfRule type="cellIs" dxfId="9414" priority="2200" stopIfTrue="1" operator="between">
      <formula>35.1</formula>
      <formula>80</formula>
    </cfRule>
    <cfRule type="cellIs" dxfId="9413" priority="2201" stopIfTrue="1" operator="between">
      <formula>14.1</formula>
      <formula>35</formula>
    </cfRule>
    <cfRule type="cellIs" dxfId="9412" priority="2202" stopIfTrue="1" operator="between">
      <formula>5.1</formula>
      <formula>14</formula>
    </cfRule>
    <cfRule type="cellIs" dxfId="9411" priority="2203" stopIfTrue="1" operator="between">
      <formula>0</formula>
      <formula>5</formula>
    </cfRule>
    <cfRule type="containsBlanks" dxfId="9410" priority="2204" stopIfTrue="1">
      <formula>LEN(TRIM(E162))=0</formula>
    </cfRule>
  </conditionalFormatting>
  <conditionalFormatting sqref="E196:I196 K196:M196 O196:Q196">
    <cfRule type="containsBlanks" dxfId="9409" priority="2191" stopIfTrue="1">
      <formula>LEN(TRIM(E196))=0</formula>
    </cfRule>
    <cfRule type="cellIs" dxfId="9408" priority="2192" stopIfTrue="1" operator="between">
      <formula>80.1</formula>
      <formula>100</formula>
    </cfRule>
    <cfRule type="cellIs" dxfId="9407" priority="2193" stopIfTrue="1" operator="between">
      <formula>35.1</formula>
      <formula>80</formula>
    </cfRule>
    <cfRule type="cellIs" dxfId="9406" priority="2194" stopIfTrue="1" operator="between">
      <formula>14.1</formula>
      <formula>35</formula>
    </cfRule>
    <cfRule type="cellIs" dxfId="9405" priority="2195" stopIfTrue="1" operator="between">
      <formula>5.1</formula>
      <formula>14</formula>
    </cfRule>
    <cfRule type="cellIs" dxfId="9404" priority="2196" stopIfTrue="1" operator="between">
      <formula>0</formula>
      <formula>5</formula>
    </cfRule>
    <cfRule type="containsBlanks" dxfId="9403" priority="2197" stopIfTrue="1">
      <formula>LEN(TRIM(E196))=0</formula>
    </cfRule>
  </conditionalFormatting>
  <conditionalFormatting sqref="J196">
    <cfRule type="containsBlanks" dxfId="9402" priority="2184" stopIfTrue="1">
      <formula>LEN(TRIM(J196))=0</formula>
    </cfRule>
    <cfRule type="cellIs" dxfId="9401" priority="2185" stopIfTrue="1" operator="between">
      <formula>79.1</formula>
      <formula>100</formula>
    </cfRule>
    <cfRule type="cellIs" dxfId="9400" priority="2186" stopIfTrue="1" operator="between">
      <formula>34.1</formula>
      <formula>79</formula>
    </cfRule>
    <cfRule type="cellIs" dxfId="9399" priority="2187" stopIfTrue="1" operator="between">
      <formula>13.1</formula>
      <formula>34</formula>
    </cfRule>
    <cfRule type="cellIs" dxfId="9398" priority="2188" stopIfTrue="1" operator="between">
      <formula>5.1</formula>
      <formula>13</formula>
    </cfRule>
    <cfRule type="cellIs" dxfId="9397" priority="2189" stopIfTrue="1" operator="between">
      <formula>0</formula>
      <formula>5</formula>
    </cfRule>
    <cfRule type="containsBlanks" dxfId="9396" priority="2190" stopIfTrue="1">
      <formula>LEN(TRIM(J196))=0</formula>
    </cfRule>
  </conditionalFormatting>
  <conditionalFormatting sqref="N196">
    <cfRule type="containsBlanks" dxfId="9395" priority="2177" stopIfTrue="1">
      <formula>LEN(TRIM(N196))=0</formula>
    </cfRule>
    <cfRule type="cellIs" dxfId="9394" priority="2178" stopIfTrue="1" operator="between">
      <formula>79.1</formula>
      <formula>100</formula>
    </cfRule>
    <cfRule type="cellIs" dxfId="9393" priority="2179" stopIfTrue="1" operator="between">
      <formula>34.1</formula>
      <formula>79</formula>
    </cfRule>
    <cfRule type="cellIs" dxfId="9392" priority="2180" stopIfTrue="1" operator="between">
      <formula>13.1</formula>
      <formula>34</formula>
    </cfRule>
    <cfRule type="cellIs" dxfId="9391" priority="2181" stopIfTrue="1" operator="between">
      <formula>5.1</formula>
      <formula>13</formula>
    </cfRule>
    <cfRule type="cellIs" dxfId="9390" priority="2182" stopIfTrue="1" operator="between">
      <formula>0</formula>
      <formula>5</formula>
    </cfRule>
    <cfRule type="containsBlanks" dxfId="9389" priority="2183" stopIfTrue="1">
      <formula>LEN(TRIM(N196))=0</formula>
    </cfRule>
  </conditionalFormatting>
  <conditionalFormatting sqref="E197:G197 J197:K197 N197:P197">
    <cfRule type="containsBlanks" dxfId="9388" priority="2170" stopIfTrue="1">
      <formula>LEN(TRIM(E197))=0</formula>
    </cfRule>
    <cfRule type="cellIs" dxfId="9387" priority="2171" stopIfTrue="1" operator="between">
      <formula>80.1</formula>
      <formula>100</formula>
    </cfRule>
    <cfRule type="cellIs" dxfId="9386" priority="2172" stopIfTrue="1" operator="between">
      <formula>35.1</formula>
      <formula>80</formula>
    </cfRule>
    <cfRule type="cellIs" dxfId="9385" priority="2173" stopIfTrue="1" operator="between">
      <formula>14.1</formula>
      <formula>35</formula>
    </cfRule>
    <cfRule type="cellIs" dxfId="9384" priority="2174" stopIfTrue="1" operator="between">
      <formula>5.1</formula>
      <formula>14</formula>
    </cfRule>
    <cfRule type="cellIs" dxfId="9383" priority="2175" stopIfTrue="1" operator="between">
      <formula>0</formula>
      <formula>5</formula>
    </cfRule>
    <cfRule type="containsBlanks" dxfId="9382" priority="2176" stopIfTrue="1">
      <formula>LEN(TRIM(E197))=0</formula>
    </cfRule>
  </conditionalFormatting>
  <conditionalFormatting sqref="H197">
    <cfRule type="containsBlanks" dxfId="9381" priority="2163" stopIfTrue="1">
      <formula>LEN(TRIM(H197))=0</formula>
    </cfRule>
    <cfRule type="cellIs" dxfId="9380" priority="2164" stopIfTrue="1" operator="between">
      <formula>79.1</formula>
      <formula>100</formula>
    </cfRule>
    <cfRule type="cellIs" dxfId="9379" priority="2165" stopIfTrue="1" operator="between">
      <formula>34.1</formula>
      <formula>79</formula>
    </cfRule>
    <cfRule type="cellIs" dxfId="9378" priority="2166" stopIfTrue="1" operator="between">
      <formula>13.1</formula>
      <formula>34</formula>
    </cfRule>
    <cfRule type="cellIs" dxfId="9377" priority="2167" stopIfTrue="1" operator="between">
      <formula>5.1</formula>
      <formula>13</formula>
    </cfRule>
    <cfRule type="cellIs" dxfId="9376" priority="2168" stopIfTrue="1" operator="between">
      <formula>0</formula>
      <formula>5</formula>
    </cfRule>
    <cfRule type="containsBlanks" dxfId="9375" priority="2169" stopIfTrue="1">
      <formula>LEN(TRIM(H197))=0</formula>
    </cfRule>
  </conditionalFormatting>
  <conditionalFormatting sqref="I197">
    <cfRule type="containsBlanks" dxfId="9374" priority="2156" stopIfTrue="1">
      <formula>LEN(TRIM(I197))=0</formula>
    </cfRule>
    <cfRule type="cellIs" dxfId="9373" priority="2157" stopIfTrue="1" operator="between">
      <formula>79.1</formula>
      <formula>100</formula>
    </cfRule>
    <cfRule type="cellIs" dxfId="9372" priority="2158" stopIfTrue="1" operator="between">
      <formula>34.1</formula>
      <formula>79</formula>
    </cfRule>
    <cfRule type="cellIs" dxfId="9371" priority="2159" stopIfTrue="1" operator="between">
      <formula>13.1</formula>
      <formula>34</formula>
    </cfRule>
    <cfRule type="cellIs" dxfId="9370" priority="2160" stopIfTrue="1" operator="between">
      <formula>5.1</formula>
      <formula>13</formula>
    </cfRule>
    <cfRule type="cellIs" dxfId="9369" priority="2161" stopIfTrue="1" operator="between">
      <formula>0</formula>
      <formula>5</formula>
    </cfRule>
    <cfRule type="containsBlanks" dxfId="9368" priority="2162" stopIfTrue="1">
      <formula>LEN(TRIM(I197))=0</formula>
    </cfRule>
  </conditionalFormatting>
  <conditionalFormatting sqref="M197">
    <cfRule type="containsBlanks" dxfId="9367" priority="2149" stopIfTrue="1">
      <formula>LEN(TRIM(M197))=0</formula>
    </cfRule>
    <cfRule type="cellIs" dxfId="9366" priority="2150" stopIfTrue="1" operator="between">
      <formula>79.1</formula>
      <formula>100</formula>
    </cfRule>
    <cfRule type="cellIs" dxfId="9365" priority="2151" stopIfTrue="1" operator="between">
      <formula>34.1</formula>
      <formula>79</formula>
    </cfRule>
    <cfRule type="cellIs" dxfId="9364" priority="2152" stopIfTrue="1" operator="between">
      <formula>13.1</formula>
      <formula>34</formula>
    </cfRule>
    <cfRule type="cellIs" dxfId="9363" priority="2153" stopIfTrue="1" operator="between">
      <formula>5.1</formula>
      <formula>13</formula>
    </cfRule>
    <cfRule type="cellIs" dxfId="9362" priority="2154" stopIfTrue="1" operator="between">
      <formula>0</formula>
      <formula>5</formula>
    </cfRule>
    <cfRule type="containsBlanks" dxfId="9361" priority="2155" stopIfTrue="1">
      <formula>LEN(TRIM(M197))=0</formula>
    </cfRule>
  </conditionalFormatting>
  <conditionalFormatting sqref="L197">
    <cfRule type="containsBlanks" dxfId="9360" priority="2142" stopIfTrue="1">
      <formula>LEN(TRIM(L197))=0</formula>
    </cfRule>
    <cfRule type="cellIs" dxfId="9359" priority="2143" stopIfTrue="1" operator="between">
      <formula>79.1</formula>
      <formula>100</formula>
    </cfRule>
    <cfRule type="cellIs" dxfId="9358" priority="2144" stopIfTrue="1" operator="between">
      <formula>34.1</formula>
      <formula>79</formula>
    </cfRule>
    <cfRule type="cellIs" dxfId="9357" priority="2145" stopIfTrue="1" operator="between">
      <formula>13.1</formula>
      <formula>34</formula>
    </cfRule>
    <cfRule type="cellIs" dxfId="9356" priority="2146" stopIfTrue="1" operator="between">
      <formula>5.1</formula>
      <formula>13</formula>
    </cfRule>
    <cfRule type="cellIs" dxfId="9355" priority="2147" stopIfTrue="1" operator="between">
      <formula>0</formula>
      <formula>5</formula>
    </cfRule>
    <cfRule type="containsBlanks" dxfId="9354" priority="2148" stopIfTrue="1">
      <formula>LEN(TRIM(L197))=0</formula>
    </cfRule>
  </conditionalFormatting>
  <conditionalFormatting sqref="E195:F195 O195:P195 H195:L195">
    <cfRule type="containsBlanks" dxfId="9353" priority="2135" stopIfTrue="1">
      <formula>LEN(TRIM(E195))=0</formula>
    </cfRule>
    <cfRule type="cellIs" dxfId="9352" priority="2136" stopIfTrue="1" operator="between">
      <formula>80.1</formula>
      <formula>100</formula>
    </cfRule>
    <cfRule type="cellIs" dxfId="9351" priority="2137" stopIfTrue="1" operator="between">
      <formula>35.1</formula>
      <formula>80</formula>
    </cfRule>
    <cfRule type="cellIs" dxfId="9350" priority="2138" stopIfTrue="1" operator="between">
      <formula>14.1</formula>
      <formula>35</formula>
    </cfRule>
    <cfRule type="cellIs" dxfId="9349" priority="2139" stopIfTrue="1" operator="between">
      <formula>5.1</formula>
      <formula>14</formula>
    </cfRule>
    <cfRule type="cellIs" dxfId="9348" priority="2140" stopIfTrue="1" operator="between">
      <formula>0</formula>
      <formula>5</formula>
    </cfRule>
    <cfRule type="containsBlanks" dxfId="9347" priority="2141" stopIfTrue="1">
      <formula>LEN(TRIM(E195))=0</formula>
    </cfRule>
  </conditionalFormatting>
  <conditionalFormatting sqref="M195">
    <cfRule type="containsBlanks" dxfId="9346" priority="2128" stopIfTrue="1">
      <formula>LEN(TRIM(M195))=0</formula>
    </cfRule>
    <cfRule type="cellIs" dxfId="9345" priority="2129" stopIfTrue="1" operator="between">
      <formula>79.1</formula>
      <formula>100</formula>
    </cfRule>
    <cfRule type="cellIs" dxfId="9344" priority="2130" stopIfTrue="1" operator="between">
      <formula>34.1</formula>
      <formula>79</formula>
    </cfRule>
    <cfRule type="cellIs" dxfId="9343" priority="2131" stopIfTrue="1" operator="between">
      <formula>13.1</formula>
      <formula>34</formula>
    </cfRule>
    <cfRule type="cellIs" dxfId="9342" priority="2132" stopIfTrue="1" operator="between">
      <formula>5.1</formula>
      <formula>13</formula>
    </cfRule>
    <cfRule type="cellIs" dxfId="9341" priority="2133" stopIfTrue="1" operator="between">
      <formula>0</formula>
      <formula>5</formula>
    </cfRule>
    <cfRule type="containsBlanks" dxfId="9340" priority="2134" stopIfTrue="1">
      <formula>LEN(TRIM(M195))=0</formula>
    </cfRule>
  </conditionalFormatting>
  <conditionalFormatting sqref="N195">
    <cfRule type="containsBlanks" dxfId="9339" priority="2121" stopIfTrue="1">
      <formula>LEN(TRIM(N195))=0</formula>
    </cfRule>
    <cfRule type="cellIs" dxfId="9338" priority="2122" stopIfTrue="1" operator="between">
      <formula>79.1</formula>
      <formula>100</formula>
    </cfRule>
    <cfRule type="cellIs" dxfId="9337" priority="2123" stopIfTrue="1" operator="between">
      <formula>34.1</formula>
      <formula>79</formula>
    </cfRule>
    <cfRule type="cellIs" dxfId="9336" priority="2124" stopIfTrue="1" operator="between">
      <formula>13.1</formula>
      <formula>34</formula>
    </cfRule>
    <cfRule type="cellIs" dxfId="9335" priority="2125" stopIfTrue="1" operator="between">
      <formula>5.1</formula>
      <formula>13</formula>
    </cfRule>
    <cfRule type="cellIs" dxfId="9334" priority="2126" stopIfTrue="1" operator="between">
      <formula>0</formula>
      <formula>5</formula>
    </cfRule>
    <cfRule type="containsBlanks" dxfId="9333" priority="2127" stopIfTrue="1">
      <formula>LEN(TRIM(N195))=0</formula>
    </cfRule>
  </conditionalFormatting>
  <conditionalFormatting sqref="G195">
    <cfRule type="containsBlanks" dxfId="9332" priority="2114" stopIfTrue="1">
      <formula>LEN(TRIM(G195))=0</formula>
    </cfRule>
    <cfRule type="cellIs" dxfId="9331" priority="2115" stopIfTrue="1" operator="between">
      <formula>79.1</formula>
      <formula>100</formula>
    </cfRule>
    <cfRule type="cellIs" dxfId="9330" priority="2116" stopIfTrue="1" operator="between">
      <formula>34.1</formula>
      <formula>79</formula>
    </cfRule>
    <cfRule type="cellIs" dxfId="9329" priority="2117" stopIfTrue="1" operator="between">
      <formula>13.1</formula>
      <formula>34</formula>
    </cfRule>
    <cfRule type="cellIs" dxfId="9328" priority="2118" stopIfTrue="1" operator="between">
      <formula>5.1</formula>
      <formula>13</formula>
    </cfRule>
    <cfRule type="cellIs" dxfId="9327" priority="2119" stopIfTrue="1" operator="between">
      <formula>0</formula>
      <formula>5</formula>
    </cfRule>
    <cfRule type="containsBlanks" dxfId="9326" priority="2120" stopIfTrue="1">
      <formula>LEN(TRIM(G195))=0</formula>
    </cfRule>
  </conditionalFormatting>
  <conditionalFormatting sqref="E198:F198 J198:K198 H198 M198:P198">
    <cfRule type="containsBlanks" dxfId="9325" priority="2107" stopIfTrue="1">
      <formula>LEN(TRIM(E198))=0</formula>
    </cfRule>
    <cfRule type="cellIs" dxfId="9324" priority="2108" stopIfTrue="1" operator="between">
      <formula>80.1</formula>
      <formula>100</formula>
    </cfRule>
    <cfRule type="cellIs" dxfId="9323" priority="2109" stopIfTrue="1" operator="between">
      <formula>35.1</formula>
      <formula>80</formula>
    </cfRule>
    <cfRule type="cellIs" dxfId="9322" priority="2110" stopIfTrue="1" operator="between">
      <formula>14.1</formula>
      <formula>35</formula>
    </cfRule>
    <cfRule type="cellIs" dxfId="9321" priority="2111" stopIfTrue="1" operator="between">
      <formula>5.1</formula>
      <formula>14</formula>
    </cfRule>
    <cfRule type="cellIs" dxfId="9320" priority="2112" stopIfTrue="1" operator="between">
      <formula>0</formula>
      <formula>5</formula>
    </cfRule>
    <cfRule type="containsBlanks" dxfId="9319" priority="2113" stopIfTrue="1">
      <formula>LEN(TRIM(E198))=0</formula>
    </cfRule>
  </conditionalFormatting>
  <conditionalFormatting sqref="I198">
    <cfRule type="containsBlanks" dxfId="9318" priority="2100" stopIfTrue="1">
      <formula>LEN(TRIM(I198))=0</formula>
    </cfRule>
    <cfRule type="cellIs" dxfId="9317" priority="2101" stopIfTrue="1" operator="between">
      <formula>79.1</formula>
      <formula>100</formula>
    </cfRule>
    <cfRule type="cellIs" dxfId="9316" priority="2102" stopIfTrue="1" operator="between">
      <formula>34.1</formula>
      <formula>79</formula>
    </cfRule>
    <cfRule type="cellIs" dxfId="9315" priority="2103" stopIfTrue="1" operator="between">
      <formula>13.1</formula>
      <formula>34</formula>
    </cfRule>
    <cfRule type="cellIs" dxfId="9314" priority="2104" stopIfTrue="1" operator="between">
      <formula>5.1</formula>
      <formula>13</formula>
    </cfRule>
    <cfRule type="cellIs" dxfId="9313" priority="2105" stopIfTrue="1" operator="between">
      <formula>0</formula>
      <formula>5</formula>
    </cfRule>
    <cfRule type="containsBlanks" dxfId="9312" priority="2106" stopIfTrue="1">
      <formula>LEN(TRIM(I198))=0</formula>
    </cfRule>
  </conditionalFormatting>
  <conditionalFormatting sqref="L198">
    <cfRule type="containsBlanks" dxfId="9311" priority="2093" stopIfTrue="1">
      <formula>LEN(TRIM(L198))=0</formula>
    </cfRule>
    <cfRule type="cellIs" dxfId="9310" priority="2094" stopIfTrue="1" operator="between">
      <formula>79.1</formula>
      <formula>100</formula>
    </cfRule>
    <cfRule type="cellIs" dxfId="9309" priority="2095" stopIfTrue="1" operator="between">
      <formula>34.1</formula>
      <formula>79</formula>
    </cfRule>
    <cfRule type="cellIs" dxfId="9308" priority="2096" stopIfTrue="1" operator="between">
      <formula>13.1</formula>
      <formula>34</formula>
    </cfRule>
    <cfRule type="cellIs" dxfId="9307" priority="2097" stopIfTrue="1" operator="between">
      <formula>5.1</formula>
      <formula>13</formula>
    </cfRule>
    <cfRule type="cellIs" dxfId="9306" priority="2098" stopIfTrue="1" operator="between">
      <formula>0</formula>
      <formula>5</formula>
    </cfRule>
    <cfRule type="containsBlanks" dxfId="9305" priority="2099" stopIfTrue="1">
      <formula>LEN(TRIM(L198))=0</formula>
    </cfRule>
  </conditionalFormatting>
  <conditionalFormatting sqref="G198">
    <cfRule type="containsBlanks" dxfId="9304" priority="2086" stopIfTrue="1">
      <formula>LEN(TRIM(G198))=0</formula>
    </cfRule>
    <cfRule type="cellIs" dxfId="9303" priority="2087" stopIfTrue="1" operator="between">
      <formula>79.1</formula>
      <formula>100</formula>
    </cfRule>
    <cfRule type="cellIs" dxfId="9302" priority="2088" stopIfTrue="1" operator="between">
      <formula>34.1</formula>
      <formula>79</formula>
    </cfRule>
    <cfRule type="cellIs" dxfId="9301" priority="2089" stopIfTrue="1" operator="between">
      <formula>13.1</formula>
      <formula>34</formula>
    </cfRule>
    <cfRule type="cellIs" dxfId="9300" priority="2090" stopIfTrue="1" operator="between">
      <formula>5.1</formula>
      <formula>13</formula>
    </cfRule>
    <cfRule type="cellIs" dxfId="9299" priority="2091" stopIfTrue="1" operator="between">
      <formula>0</formula>
      <formula>5</formula>
    </cfRule>
    <cfRule type="containsBlanks" dxfId="9298" priority="2092" stopIfTrue="1">
      <formula>LEN(TRIM(G198))=0</formula>
    </cfRule>
  </conditionalFormatting>
  <conditionalFormatting sqref="E179:I179 M179 O179:P179 K179">
    <cfRule type="containsBlanks" dxfId="9297" priority="2079" stopIfTrue="1">
      <formula>LEN(TRIM(E179))=0</formula>
    </cfRule>
    <cfRule type="cellIs" dxfId="9296" priority="2080" stopIfTrue="1" operator="between">
      <formula>80.1</formula>
      <formula>100</formula>
    </cfRule>
    <cfRule type="cellIs" dxfId="9295" priority="2081" stopIfTrue="1" operator="between">
      <formula>35.1</formula>
      <formula>80</formula>
    </cfRule>
    <cfRule type="cellIs" dxfId="9294" priority="2082" stopIfTrue="1" operator="between">
      <formula>14.1</formula>
      <formula>35</formula>
    </cfRule>
    <cfRule type="cellIs" dxfId="9293" priority="2083" stopIfTrue="1" operator="between">
      <formula>5.1</formula>
      <formula>14</formula>
    </cfRule>
    <cfRule type="cellIs" dxfId="9292" priority="2084" stopIfTrue="1" operator="between">
      <formula>0</formula>
      <formula>5</formula>
    </cfRule>
    <cfRule type="containsBlanks" dxfId="9291" priority="2085" stopIfTrue="1">
      <formula>LEN(TRIM(E179))=0</formula>
    </cfRule>
  </conditionalFormatting>
  <conditionalFormatting sqref="L179">
    <cfRule type="containsBlanks" dxfId="9290" priority="2072" stopIfTrue="1">
      <formula>LEN(TRIM(L179))=0</formula>
    </cfRule>
    <cfRule type="cellIs" dxfId="9289" priority="2073" stopIfTrue="1" operator="between">
      <formula>79.1</formula>
      <formula>100</formula>
    </cfRule>
    <cfRule type="cellIs" dxfId="9288" priority="2074" stopIfTrue="1" operator="between">
      <formula>34.1</formula>
      <formula>79</formula>
    </cfRule>
    <cfRule type="cellIs" dxfId="9287" priority="2075" stopIfTrue="1" operator="between">
      <formula>13.1</formula>
      <formula>34</formula>
    </cfRule>
    <cfRule type="cellIs" dxfId="9286" priority="2076" stopIfTrue="1" operator="between">
      <formula>5.1</formula>
      <formula>13</formula>
    </cfRule>
    <cfRule type="cellIs" dxfId="9285" priority="2077" stopIfTrue="1" operator="between">
      <formula>0</formula>
      <formula>5</formula>
    </cfRule>
    <cfRule type="containsBlanks" dxfId="9284" priority="2078" stopIfTrue="1">
      <formula>LEN(TRIM(L179))=0</formula>
    </cfRule>
  </conditionalFormatting>
  <conditionalFormatting sqref="N179">
    <cfRule type="containsBlanks" dxfId="9283" priority="2065" stopIfTrue="1">
      <formula>LEN(TRIM(N179))=0</formula>
    </cfRule>
    <cfRule type="cellIs" dxfId="9282" priority="2066" stopIfTrue="1" operator="between">
      <formula>79.1</formula>
      <formula>100</formula>
    </cfRule>
    <cfRule type="cellIs" dxfId="9281" priority="2067" stopIfTrue="1" operator="between">
      <formula>34.1</formula>
      <formula>79</formula>
    </cfRule>
    <cfRule type="cellIs" dxfId="9280" priority="2068" stopIfTrue="1" operator="between">
      <formula>13.1</formula>
      <formula>34</formula>
    </cfRule>
    <cfRule type="cellIs" dxfId="9279" priority="2069" stopIfTrue="1" operator="between">
      <formula>5.1</formula>
      <formula>13</formula>
    </cfRule>
    <cfRule type="cellIs" dxfId="9278" priority="2070" stopIfTrue="1" operator="between">
      <formula>0</formula>
      <formula>5</formula>
    </cfRule>
    <cfRule type="containsBlanks" dxfId="9277" priority="2071" stopIfTrue="1">
      <formula>LEN(TRIM(N179))=0</formula>
    </cfRule>
  </conditionalFormatting>
  <conditionalFormatting sqref="J179">
    <cfRule type="containsBlanks" dxfId="9276" priority="2058" stopIfTrue="1">
      <formula>LEN(TRIM(J179))=0</formula>
    </cfRule>
    <cfRule type="cellIs" dxfId="9275" priority="2059" stopIfTrue="1" operator="between">
      <formula>79.1</formula>
      <formula>100</formula>
    </cfRule>
    <cfRule type="cellIs" dxfId="9274" priority="2060" stopIfTrue="1" operator="between">
      <formula>34.1</formula>
      <formula>79</formula>
    </cfRule>
    <cfRule type="cellIs" dxfId="9273" priority="2061" stopIfTrue="1" operator="between">
      <formula>13.1</formula>
      <formula>34</formula>
    </cfRule>
    <cfRule type="cellIs" dxfId="9272" priority="2062" stopIfTrue="1" operator="between">
      <formula>5.1</formula>
      <formula>13</formula>
    </cfRule>
    <cfRule type="cellIs" dxfId="9271" priority="2063" stopIfTrue="1" operator="between">
      <formula>0</formula>
      <formula>5</formula>
    </cfRule>
    <cfRule type="containsBlanks" dxfId="9270" priority="2064" stopIfTrue="1">
      <formula>LEN(TRIM(J179))=0</formula>
    </cfRule>
  </conditionalFormatting>
  <conditionalFormatting sqref="E181:G181 N181:P181 J181:L181">
    <cfRule type="containsBlanks" dxfId="9269" priority="2051" stopIfTrue="1">
      <formula>LEN(TRIM(E181))=0</formula>
    </cfRule>
    <cfRule type="cellIs" dxfId="9268" priority="2052" stopIfTrue="1" operator="between">
      <formula>80.1</formula>
      <formula>100</formula>
    </cfRule>
    <cfRule type="cellIs" dxfId="9267" priority="2053" stopIfTrue="1" operator="between">
      <formula>35.1</formula>
      <formula>80</formula>
    </cfRule>
    <cfRule type="cellIs" dxfId="9266" priority="2054" stopIfTrue="1" operator="between">
      <formula>14.1</formula>
      <formula>35</formula>
    </cfRule>
    <cfRule type="cellIs" dxfId="9265" priority="2055" stopIfTrue="1" operator="between">
      <formula>5.1</formula>
      <formula>14</formula>
    </cfRule>
    <cfRule type="cellIs" dxfId="9264" priority="2056" stopIfTrue="1" operator="between">
      <formula>0</formula>
      <formula>5</formula>
    </cfRule>
    <cfRule type="containsBlanks" dxfId="9263" priority="2057" stopIfTrue="1">
      <formula>LEN(TRIM(E181))=0</formula>
    </cfRule>
  </conditionalFormatting>
  <conditionalFormatting sqref="I181">
    <cfRule type="containsBlanks" dxfId="9262" priority="2044" stopIfTrue="1">
      <formula>LEN(TRIM(I181))=0</formula>
    </cfRule>
    <cfRule type="cellIs" dxfId="9261" priority="2045" stopIfTrue="1" operator="between">
      <formula>79.1</formula>
      <formula>100</formula>
    </cfRule>
    <cfRule type="cellIs" dxfId="9260" priority="2046" stopIfTrue="1" operator="between">
      <formula>34.1</formula>
      <formula>79</formula>
    </cfRule>
    <cfRule type="cellIs" dxfId="9259" priority="2047" stopIfTrue="1" operator="between">
      <formula>13.1</formula>
      <formula>34</formula>
    </cfRule>
    <cfRule type="cellIs" dxfId="9258" priority="2048" stopIfTrue="1" operator="between">
      <formula>5.1</formula>
      <formula>13</formula>
    </cfRule>
    <cfRule type="cellIs" dxfId="9257" priority="2049" stopIfTrue="1" operator="between">
      <formula>0</formula>
      <formula>5</formula>
    </cfRule>
    <cfRule type="containsBlanks" dxfId="9256" priority="2050" stopIfTrue="1">
      <formula>LEN(TRIM(I181))=0</formula>
    </cfRule>
  </conditionalFormatting>
  <conditionalFormatting sqref="M181">
    <cfRule type="containsBlanks" dxfId="9255" priority="2037" stopIfTrue="1">
      <formula>LEN(TRIM(M181))=0</formula>
    </cfRule>
    <cfRule type="cellIs" dxfId="9254" priority="2038" stopIfTrue="1" operator="between">
      <formula>79.1</formula>
      <formula>100</formula>
    </cfRule>
    <cfRule type="cellIs" dxfId="9253" priority="2039" stopIfTrue="1" operator="between">
      <formula>34.1</formula>
      <formula>79</formula>
    </cfRule>
    <cfRule type="cellIs" dxfId="9252" priority="2040" stopIfTrue="1" operator="between">
      <formula>13.1</formula>
      <formula>34</formula>
    </cfRule>
    <cfRule type="cellIs" dxfId="9251" priority="2041" stopIfTrue="1" operator="between">
      <formula>5.1</formula>
      <formula>13</formula>
    </cfRule>
    <cfRule type="cellIs" dxfId="9250" priority="2042" stopIfTrue="1" operator="between">
      <formula>0</formula>
      <formula>5</formula>
    </cfRule>
    <cfRule type="containsBlanks" dxfId="9249" priority="2043" stopIfTrue="1">
      <formula>LEN(TRIM(M181))=0</formula>
    </cfRule>
  </conditionalFormatting>
  <conditionalFormatting sqref="H181">
    <cfRule type="containsBlanks" dxfId="9248" priority="2030" stopIfTrue="1">
      <formula>LEN(TRIM(H181))=0</formula>
    </cfRule>
    <cfRule type="cellIs" dxfId="9247" priority="2031" stopIfTrue="1" operator="between">
      <formula>79.1</formula>
      <formula>100</formula>
    </cfRule>
    <cfRule type="cellIs" dxfId="9246" priority="2032" stopIfTrue="1" operator="between">
      <formula>34.1</formula>
      <formula>79</formula>
    </cfRule>
    <cfRule type="cellIs" dxfId="9245" priority="2033" stopIfTrue="1" operator="between">
      <formula>13.1</formula>
      <formula>34</formula>
    </cfRule>
    <cfRule type="cellIs" dxfId="9244" priority="2034" stopIfTrue="1" operator="between">
      <formula>5.1</formula>
      <formula>13</formula>
    </cfRule>
    <cfRule type="cellIs" dxfId="9243" priority="2035" stopIfTrue="1" operator="between">
      <formula>0</formula>
      <formula>5</formula>
    </cfRule>
    <cfRule type="containsBlanks" dxfId="9242" priority="2036" stopIfTrue="1">
      <formula>LEN(TRIM(H181))=0</formula>
    </cfRule>
  </conditionalFormatting>
  <conditionalFormatting sqref="O182:P182 E182:F182 H182:M182">
    <cfRule type="containsBlanks" dxfId="9241" priority="2023" stopIfTrue="1">
      <formula>LEN(TRIM(E182))=0</formula>
    </cfRule>
    <cfRule type="cellIs" dxfId="9240" priority="2024" stopIfTrue="1" operator="between">
      <formula>80.1</formula>
      <formula>100</formula>
    </cfRule>
    <cfRule type="cellIs" dxfId="9239" priority="2025" stopIfTrue="1" operator="between">
      <formula>35.1</formula>
      <formula>80</formula>
    </cfRule>
    <cfRule type="cellIs" dxfId="9238" priority="2026" stopIfTrue="1" operator="between">
      <formula>14.1</formula>
      <formula>35</formula>
    </cfRule>
    <cfRule type="cellIs" dxfId="9237" priority="2027" stopIfTrue="1" operator="between">
      <formula>5.1</formula>
      <formula>14</formula>
    </cfRule>
    <cfRule type="cellIs" dxfId="9236" priority="2028" stopIfTrue="1" operator="between">
      <formula>0</formula>
      <formula>5</formula>
    </cfRule>
    <cfRule type="containsBlanks" dxfId="9235" priority="2029" stopIfTrue="1">
      <formula>LEN(TRIM(E182))=0</formula>
    </cfRule>
  </conditionalFormatting>
  <conditionalFormatting sqref="G182">
    <cfRule type="containsBlanks" dxfId="9234" priority="2016" stopIfTrue="1">
      <formula>LEN(TRIM(G182))=0</formula>
    </cfRule>
    <cfRule type="cellIs" dxfId="9233" priority="2017" stopIfTrue="1" operator="between">
      <formula>79.1</formula>
      <formula>100</formula>
    </cfRule>
    <cfRule type="cellIs" dxfId="9232" priority="2018" stopIfTrue="1" operator="between">
      <formula>34.1</formula>
      <formula>79</formula>
    </cfRule>
    <cfRule type="cellIs" dxfId="9231" priority="2019" stopIfTrue="1" operator="between">
      <formula>13.1</formula>
      <formula>34</formula>
    </cfRule>
    <cfRule type="cellIs" dxfId="9230" priority="2020" stopIfTrue="1" operator="between">
      <formula>5.1</formula>
      <formula>13</formula>
    </cfRule>
    <cfRule type="cellIs" dxfId="9229" priority="2021" stopIfTrue="1" operator="between">
      <formula>0</formula>
      <formula>5</formula>
    </cfRule>
    <cfRule type="containsBlanks" dxfId="9228" priority="2022" stopIfTrue="1">
      <formula>LEN(TRIM(G182))=0</formula>
    </cfRule>
  </conditionalFormatting>
  <conditionalFormatting sqref="N182">
    <cfRule type="containsBlanks" dxfId="9227" priority="2009" stopIfTrue="1">
      <formula>LEN(TRIM(N182))=0</formula>
    </cfRule>
    <cfRule type="cellIs" dxfId="9226" priority="2010" stopIfTrue="1" operator="between">
      <formula>79.1</formula>
      <formula>100</formula>
    </cfRule>
    <cfRule type="cellIs" dxfId="9225" priority="2011" stopIfTrue="1" operator="between">
      <formula>34.1</formula>
      <formula>79</formula>
    </cfRule>
    <cfRule type="cellIs" dxfId="9224" priority="2012" stopIfTrue="1" operator="between">
      <formula>13.1</formula>
      <formula>34</formula>
    </cfRule>
    <cfRule type="cellIs" dxfId="9223" priority="2013" stopIfTrue="1" operator="between">
      <formula>5.1</formula>
      <formula>13</formula>
    </cfRule>
    <cfRule type="cellIs" dxfId="9222" priority="2014" stopIfTrue="1" operator="between">
      <formula>0</formula>
      <formula>5</formula>
    </cfRule>
    <cfRule type="containsBlanks" dxfId="9221" priority="2015" stopIfTrue="1">
      <formula>LEN(TRIM(N182))=0</formula>
    </cfRule>
  </conditionalFormatting>
  <conditionalFormatting sqref="E180:H180 O180:P180 J180 L180:M180">
    <cfRule type="containsBlanks" dxfId="9220" priority="2002" stopIfTrue="1">
      <formula>LEN(TRIM(E180))=0</formula>
    </cfRule>
    <cfRule type="cellIs" dxfId="9219" priority="2003" stopIfTrue="1" operator="between">
      <formula>80.1</formula>
      <formula>100</formula>
    </cfRule>
    <cfRule type="cellIs" dxfId="9218" priority="2004" stopIfTrue="1" operator="between">
      <formula>35.1</formula>
      <formula>80</formula>
    </cfRule>
    <cfRule type="cellIs" dxfId="9217" priority="2005" stopIfTrue="1" operator="between">
      <formula>14.1</formula>
      <formula>35</formula>
    </cfRule>
    <cfRule type="cellIs" dxfId="9216" priority="2006" stopIfTrue="1" operator="between">
      <formula>5.1</formula>
      <formula>14</formula>
    </cfRule>
    <cfRule type="cellIs" dxfId="9215" priority="2007" stopIfTrue="1" operator="between">
      <formula>0</formula>
      <formula>5</formula>
    </cfRule>
    <cfRule type="containsBlanks" dxfId="9214" priority="2008" stopIfTrue="1">
      <formula>LEN(TRIM(E180))=0</formula>
    </cfRule>
  </conditionalFormatting>
  <conditionalFormatting sqref="N180">
    <cfRule type="containsBlanks" dxfId="9213" priority="1995" stopIfTrue="1">
      <formula>LEN(TRIM(N180))=0</formula>
    </cfRule>
    <cfRule type="cellIs" dxfId="9212" priority="1996" stopIfTrue="1" operator="between">
      <formula>79.1</formula>
      <formula>100</formula>
    </cfRule>
    <cfRule type="cellIs" dxfId="9211" priority="1997" stopIfTrue="1" operator="between">
      <formula>34.1</formula>
      <formula>79</formula>
    </cfRule>
    <cfRule type="cellIs" dxfId="9210" priority="1998" stopIfTrue="1" operator="between">
      <formula>13.1</formula>
      <formula>34</formula>
    </cfRule>
    <cfRule type="cellIs" dxfId="9209" priority="1999" stopIfTrue="1" operator="between">
      <formula>5.1</formula>
      <formula>13</formula>
    </cfRule>
    <cfRule type="cellIs" dxfId="9208" priority="2000" stopIfTrue="1" operator="between">
      <formula>0</formula>
      <formula>5</formula>
    </cfRule>
    <cfRule type="containsBlanks" dxfId="9207" priority="2001" stopIfTrue="1">
      <formula>LEN(TRIM(N180))=0</formula>
    </cfRule>
  </conditionalFormatting>
  <conditionalFormatting sqref="K180">
    <cfRule type="containsBlanks" dxfId="9206" priority="1988" stopIfTrue="1">
      <formula>LEN(TRIM(K180))=0</formula>
    </cfRule>
    <cfRule type="cellIs" dxfId="9205" priority="1989" stopIfTrue="1" operator="between">
      <formula>79.1</formula>
      <formula>100</formula>
    </cfRule>
    <cfRule type="cellIs" dxfId="9204" priority="1990" stopIfTrue="1" operator="between">
      <formula>34.1</formula>
      <formula>79</formula>
    </cfRule>
    <cfRule type="cellIs" dxfId="9203" priority="1991" stopIfTrue="1" operator="between">
      <formula>13.1</formula>
      <formula>34</formula>
    </cfRule>
    <cfRule type="cellIs" dxfId="9202" priority="1992" stopIfTrue="1" operator="between">
      <formula>5.1</formula>
      <formula>13</formula>
    </cfRule>
    <cfRule type="cellIs" dxfId="9201" priority="1993" stopIfTrue="1" operator="between">
      <formula>0</formula>
      <formula>5</formula>
    </cfRule>
    <cfRule type="containsBlanks" dxfId="9200" priority="1994" stopIfTrue="1">
      <formula>LEN(TRIM(K180))=0</formula>
    </cfRule>
  </conditionalFormatting>
  <conditionalFormatting sqref="I180">
    <cfRule type="containsBlanks" dxfId="9199" priority="1981" stopIfTrue="1">
      <formula>LEN(TRIM(I180))=0</formula>
    </cfRule>
    <cfRule type="cellIs" dxfId="9198" priority="1982" stopIfTrue="1" operator="between">
      <formula>79.1</formula>
      <formula>100</formula>
    </cfRule>
    <cfRule type="cellIs" dxfId="9197" priority="1983" stopIfTrue="1" operator="between">
      <formula>34.1</formula>
      <formula>79</formula>
    </cfRule>
    <cfRule type="cellIs" dxfId="9196" priority="1984" stopIfTrue="1" operator="between">
      <formula>13.1</formula>
      <formula>34</formula>
    </cfRule>
    <cfRule type="cellIs" dxfId="9195" priority="1985" stopIfTrue="1" operator="between">
      <formula>5.1</formula>
      <formula>13</formula>
    </cfRule>
    <cfRule type="cellIs" dxfId="9194" priority="1986" stopIfTrue="1" operator="between">
      <formula>0</formula>
      <formula>5</formula>
    </cfRule>
    <cfRule type="containsBlanks" dxfId="9193" priority="1987" stopIfTrue="1">
      <formula>LEN(TRIM(I180))=0</formula>
    </cfRule>
  </conditionalFormatting>
  <conditionalFormatting sqref="E183:F183 O183:P183 H183:L183">
    <cfRule type="containsBlanks" dxfId="9192" priority="1974" stopIfTrue="1">
      <formula>LEN(TRIM(E183))=0</formula>
    </cfRule>
    <cfRule type="cellIs" dxfId="9191" priority="1975" stopIfTrue="1" operator="between">
      <formula>80.1</formula>
      <formula>100</formula>
    </cfRule>
    <cfRule type="cellIs" dxfId="9190" priority="1976" stopIfTrue="1" operator="between">
      <formula>35.1</formula>
      <formula>80</formula>
    </cfRule>
    <cfRule type="cellIs" dxfId="9189" priority="1977" stopIfTrue="1" operator="between">
      <formula>14.1</formula>
      <formula>35</formula>
    </cfRule>
    <cfRule type="cellIs" dxfId="9188" priority="1978" stopIfTrue="1" operator="between">
      <formula>5.1</formula>
      <formula>14</formula>
    </cfRule>
    <cfRule type="cellIs" dxfId="9187" priority="1979" stopIfTrue="1" operator="between">
      <formula>0</formula>
      <formula>5</formula>
    </cfRule>
    <cfRule type="containsBlanks" dxfId="9186" priority="1980" stopIfTrue="1">
      <formula>LEN(TRIM(E183))=0</formula>
    </cfRule>
  </conditionalFormatting>
  <conditionalFormatting sqref="N183">
    <cfRule type="containsBlanks" dxfId="9185" priority="1967" stopIfTrue="1">
      <formula>LEN(TRIM(N183))=0</formula>
    </cfRule>
    <cfRule type="cellIs" dxfId="9184" priority="1968" stopIfTrue="1" operator="between">
      <formula>79.1</formula>
      <formula>100</formula>
    </cfRule>
    <cfRule type="cellIs" dxfId="9183" priority="1969" stopIfTrue="1" operator="between">
      <formula>34.1</formula>
      <formula>79</formula>
    </cfRule>
    <cfRule type="cellIs" dxfId="9182" priority="1970" stopIfTrue="1" operator="between">
      <formula>13.1</formula>
      <formula>34</formula>
    </cfRule>
    <cfRule type="cellIs" dxfId="9181" priority="1971" stopIfTrue="1" operator="between">
      <formula>5.1</formula>
      <formula>13</formula>
    </cfRule>
    <cfRule type="cellIs" dxfId="9180" priority="1972" stopIfTrue="1" operator="between">
      <formula>0</formula>
      <formula>5</formula>
    </cfRule>
    <cfRule type="containsBlanks" dxfId="9179" priority="1973" stopIfTrue="1">
      <formula>LEN(TRIM(N183))=0</formula>
    </cfRule>
  </conditionalFormatting>
  <conditionalFormatting sqref="G183">
    <cfRule type="containsBlanks" dxfId="9178" priority="1960" stopIfTrue="1">
      <formula>LEN(TRIM(G183))=0</formula>
    </cfRule>
    <cfRule type="cellIs" dxfId="9177" priority="1961" stopIfTrue="1" operator="between">
      <formula>79.1</formula>
      <formula>100</formula>
    </cfRule>
    <cfRule type="cellIs" dxfId="9176" priority="1962" stopIfTrue="1" operator="between">
      <formula>34.1</formula>
      <formula>79</formula>
    </cfRule>
    <cfRule type="cellIs" dxfId="9175" priority="1963" stopIfTrue="1" operator="between">
      <formula>13.1</formula>
      <formula>34</formula>
    </cfRule>
    <cfRule type="cellIs" dxfId="9174" priority="1964" stopIfTrue="1" operator="between">
      <formula>5.1</formula>
      <formula>13</formula>
    </cfRule>
    <cfRule type="cellIs" dxfId="9173" priority="1965" stopIfTrue="1" operator="between">
      <formula>0</formula>
      <formula>5</formula>
    </cfRule>
    <cfRule type="containsBlanks" dxfId="9172" priority="1966" stopIfTrue="1">
      <formula>LEN(TRIM(G183))=0</formula>
    </cfRule>
  </conditionalFormatting>
  <conditionalFormatting sqref="M183">
    <cfRule type="containsBlanks" dxfId="9171" priority="1953" stopIfTrue="1">
      <formula>LEN(TRIM(M183))=0</formula>
    </cfRule>
    <cfRule type="cellIs" dxfId="9170" priority="1954" stopIfTrue="1" operator="between">
      <formula>79.1</formula>
      <formula>100</formula>
    </cfRule>
    <cfRule type="cellIs" dxfId="9169" priority="1955" stopIfTrue="1" operator="between">
      <formula>34.1</formula>
      <formula>79</formula>
    </cfRule>
    <cfRule type="cellIs" dxfId="9168" priority="1956" stopIfTrue="1" operator="between">
      <formula>13.1</formula>
      <formula>34</formula>
    </cfRule>
    <cfRule type="cellIs" dxfId="9167" priority="1957" stopIfTrue="1" operator="between">
      <formula>5.1</formula>
      <formula>13</formula>
    </cfRule>
    <cfRule type="cellIs" dxfId="9166" priority="1958" stopIfTrue="1" operator="between">
      <formula>0</formula>
      <formula>5</formula>
    </cfRule>
    <cfRule type="containsBlanks" dxfId="9165" priority="1959" stopIfTrue="1">
      <formula>LEN(TRIM(M183))=0</formula>
    </cfRule>
  </conditionalFormatting>
  <conditionalFormatting sqref="E187:H187 J187 L187:N187 P187">
    <cfRule type="containsBlanks" dxfId="9164" priority="1946" stopIfTrue="1">
      <formula>LEN(TRIM(E187))=0</formula>
    </cfRule>
    <cfRule type="cellIs" dxfId="9163" priority="1947" stopIfTrue="1" operator="between">
      <formula>80.1</formula>
      <formula>100</formula>
    </cfRule>
    <cfRule type="cellIs" dxfId="9162" priority="1948" stopIfTrue="1" operator="between">
      <formula>35.1</formula>
      <formula>80</formula>
    </cfRule>
    <cfRule type="cellIs" dxfId="9161" priority="1949" stopIfTrue="1" operator="between">
      <formula>14.1</formula>
      <formula>35</formula>
    </cfRule>
    <cfRule type="cellIs" dxfId="9160" priority="1950" stopIfTrue="1" operator="between">
      <formula>5.1</formula>
      <formula>14</formula>
    </cfRule>
    <cfRule type="cellIs" dxfId="9159" priority="1951" stopIfTrue="1" operator="between">
      <formula>0</formula>
      <formula>5</formula>
    </cfRule>
    <cfRule type="containsBlanks" dxfId="9158" priority="1952" stopIfTrue="1">
      <formula>LEN(TRIM(E187))=0</formula>
    </cfRule>
  </conditionalFormatting>
  <conditionalFormatting sqref="I187">
    <cfRule type="containsBlanks" dxfId="9157" priority="1939" stopIfTrue="1">
      <formula>LEN(TRIM(I187))=0</formula>
    </cfRule>
    <cfRule type="cellIs" dxfId="9156" priority="1940" stopIfTrue="1" operator="between">
      <formula>79.1</formula>
      <formula>100</formula>
    </cfRule>
    <cfRule type="cellIs" dxfId="9155" priority="1941" stopIfTrue="1" operator="between">
      <formula>34.1</formula>
      <formula>79</formula>
    </cfRule>
    <cfRule type="cellIs" dxfId="9154" priority="1942" stopIfTrue="1" operator="between">
      <formula>13.1</formula>
      <formula>34</formula>
    </cfRule>
    <cfRule type="cellIs" dxfId="9153" priority="1943" stopIfTrue="1" operator="between">
      <formula>5.1</formula>
      <formula>13</formula>
    </cfRule>
    <cfRule type="cellIs" dxfId="9152" priority="1944" stopIfTrue="1" operator="between">
      <formula>0</formula>
      <formula>5</formula>
    </cfRule>
    <cfRule type="containsBlanks" dxfId="9151" priority="1945" stopIfTrue="1">
      <formula>LEN(TRIM(I187))=0</formula>
    </cfRule>
  </conditionalFormatting>
  <conditionalFormatting sqref="K187">
    <cfRule type="containsBlanks" dxfId="9150" priority="1932" stopIfTrue="1">
      <formula>LEN(TRIM(K187))=0</formula>
    </cfRule>
    <cfRule type="cellIs" dxfId="9149" priority="1933" stopIfTrue="1" operator="between">
      <formula>79.1</formula>
      <formula>100</formula>
    </cfRule>
    <cfRule type="cellIs" dxfId="9148" priority="1934" stopIfTrue="1" operator="between">
      <formula>34.1</formula>
      <formula>79</formula>
    </cfRule>
    <cfRule type="cellIs" dxfId="9147" priority="1935" stopIfTrue="1" operator="between">
      <formula>13.1</formula>
      <formula>34</formula>
    </cfRule>
    <cfRule type="cellIs" dxfId="9146" priority="1936" stopIfTrue="1" operator="between">
      <formula>5.1</formula>
      <formula>13</formula>
    </cfRule>
    <cfRule type="cellIs" dxfId="9145" priority="1937" stopIfTrue="1" operator="between">
      <formula>0</formula>
      <formula>5</formula>
    </cfRule>
    <cfRule type="containsBlanks" dxfId="9144" priority="1938" stopIfTrue="1">
      <formula>LEN(TRIM(K187))=0</formula>
    </cfRule>
  </conditionalFormatting>
  <conditionalFormatting sqref="O187">
    <cfRule type="containsBlanks" dxfId="9143" priority="1925" stopIfTrue="1">
      <formula>LEN(TRIM(O187))=0</formula>
    </cfRule>
    <cfRule type="cellIs" dxfId="9142" priority="1926" stopIfTrue="1" operator="between">
      <formula>79.1</formula>
      <formula>100</formula>
    </cfRule>
    <cfRule type="cellIs" dxfId="9141" priority="1927" stopIfTrue="1" operator="between">
      <formula>34.1</formula>
      <formula>79</formula>
    </cfRule>
    <cfRule type="cellIs" dxfId="9140" priority="1928" stopIfTrue="1" operator="between">
      <formula>13.1</formula>
      <formula>34</formula>
    </cfRule>
    <cfRule type="cellIs" dxfId="9139" priority="1929" stopIfTrue="1" operator="between">
      <formula>5.1</formula>
      <formula>13</formula>
    </cfRule>
    <cfRule type="cellIs" dxfId="9138" priority="1930" stopIfTrue="1" operator="between">
      <formula>0</formula>
      <formula>5</formula>
    </cfRule>
    <cfRule type="containsBlanks" dxfId="9137" priority="1931" stopIfTrue="1">
      <formula>LEN(TRIM(O187))=0</formula>
    </cfRule>
  </conditionalFormatting>
  <conditionalFormatting sqref="E188:G188 J188:L188 O188:P188">
    <cfRule type="containsBlanks" dxfId="9136" priority="1918" stopIfTrue="1">
      <formula>LEN(TRIM(E188))=0</formula>
    </cfRule>
    <cfRule type="cellIs" dxfId="9135" priority="1919" stopIfTrue="1" operator="between">
      <formula>80.1</formula>
      <formula>100</formula>
    </cfRule>
    <cfRule type="cellIs" dxfId="9134" priority="1920" stopIfTrue="1" operator="between">
      <formula>35.1</formula>
      <formula>80</formula>
    </cfRule>
    <cfRule type="cellIs" dxfId="9133" priority="1921" stopIfTrue="1" operator="between">
      <formula>14.1</formula>
      <formula>35</formula>
    </cfRule>
    <cfRule type="cellIs" dxfId="9132" priority="1922" stopIfTrue="1" operator="between">
      <formula>5.1</formula>
      <formula>14</formula>
    </cfRule>
    <cfRule type="cellIs" dxfId="9131" priority="1923" stopIfTrue="1" operator="between">
      <formula>0</formula>
      <formula>5</formula>
    </cfRule>
    <cfRule type="containsBlanks" dxfId="9130" priority="1924" stopIfTrue="1">
      <formula>LEN(TRIM(E188))=0</formula>
    </cfRule>
  </conditionalFormatting>
  <conditionalFormatting sqref="H188">
    <cfRule type="containsBlanks" dxfId="9129" priority="1911" stopIfTrue="1">
      <formula>LEN(TRIM(H188))=0</formula>
    </cfRule>
    <cfRule type="cellIs" dxfId="9128" priority="1912" stopIfTrue="1" operator="between">
      <formula>79.1</formula>
      <formula>100</formula>
    </cfRule>
    <cfRule type="cellIs" dxfId="9127" priority="1913" stopIfTrue="1" operator="between">
      <formula>34.1</formula>
      <formula>79</formula>
    </cfRule>
    <cfRule type="cellIs" dxfId="9126" priority="1914" stopIfTrue="1" operator="between">
      <formula>13.1</formula>
      <formula>34</formula>
    </cfRule>
    <cfRule type="cellIs" dxfId="9125" priority="1915" stopIfTrue="1" operator="between">
      <formula>5.1</formula>
      <formula>13</formula>
    </cfRule>
    <cfRule type="cellIs" dxfId="9124" priority="1916" stopIfTrue="1" operator="between">
      <formula>0</formula>
      <formula>5</formula>
    </cfRule>
    <cfRule type="containsBlanks" dxfId="9123" priority="1917" stopIfTrue="1">
      <formula>LEN(TRIM(H188))=0</formula>
    </cfRule>
  </conditionalFormatting>
  <conditionalFormatting sqref="I188">
    <cfRule type="containsBlanks" dxfId="9122" priority="1904" stopIfTrue="1">
      <formula>LEN(TRIM(I188))=0</formula>
    </cfRule>
    <cfRule type="cellIs" dxfId="9121" priority="1905" stopIfTrue="1" operator="between">
      <formula>79.1</formula>
      <formula>100</formula>
    </cfRule>
    <cfRule type="cellIs" dxfId="9120" priority="1906" stopIfTrue="1" operator="between">
      <formula>34.1</formula>
      <formula>79</formula>
    </cfRule>
    <cfRule type="cellIs" dxfId="9119" priority="1907" stopIfTrue="1" operator="between">
      <formula>13.1</formula>
      <formula>34</formula>
    </cfRule>
    <cfRule type="cellIs" dxfId="9118" priority="1908" stopIfTrue="1" operator="between">
      <formula>5.1</formula>
      <formula>13</formula>
    </cfRule>
    <cfRule type="cellIs" dxfId="9117" priority="1909" stopIfTrue="1" operator="between">
      <formula>0</formula>
      <formula>5</formula>
    </cfRule>
    <cfRule type="containsBlanks" dxfId="9116" priority="1910" stopIfTrue="1">
      <formula>LEN(TRIM(I188))=0</formula>
    </cfRule>
  </conditionalFormatting>
  <conditionalFormatting sqref="N188">
    <cfRule type="containsBlanks" dxfId="9115" priority="1897" stopIfTrue="1">
      <formula>LEN(TRIM(N188))=0</formula>
    </cfRule>
    <cfRule type="cellIs" dxfId="9114" priority="1898" stopIfTrue="1" operator="between">
      <formula>79.1</formula>
      <formula>100</formula>
    </cfRule>
    <cfRule type="cellIs" dxfId="9113" priority="1899" stopIfTrue="1" operator="between">
      <formula>34.1</formula>
      <formula>79</formula>
    </cfRule>
    <cfRule type="cellIs" dxfId="9112" priority="1900" stopIfTrue="1" operator="between">
      <formula>13.1</formula>
      <formula>34</formula>
    </cfRule>
    <cfRule type="cellIs" dxfId="9111" priority="1901" stopIfTrue="1" operator="between">
      <formula>5.1</formula>
      <formula>13</formula>
    </cfRule>
    <cfRule type="cellIs" dxfId="9110" priority="1902" stopIfTrue="1" operator="between">
      <formula>0</formula>
      <formula>5</formula>
    </cfRule>
    <cfRule type="containsBlanks" dxfId="9109" priority="1903" stopIfTrue="1">
      <formula>LEN(TRIM(N188))=0</formula>
    </cfRule>
  </conditionalFormatting>
  <conditionalFormatting sqref="M188">
    <cfRule type="containsBlanks" dxfId="9108" priority="1890" stopIfTrue="1">
      <formula>LEN(TRIM(M188))=0</formula>
    </cfRule>
    <cfRule type="cellIs" dxfId="9107" priority="1891" stopIfTrue="1" operator="between">
      <formula>79.1</formula>
      <formula>100</formula>
    </cfRule>
    <cfRule type="cellIs" dxfId="9106" priority="1892" stopIfTrue="1" operator="between">
      <formula>34.1</formula>
      <formula>79</formula>
    </cfRule>
    <cfRule type="cellIs" dxfId="9105" priority="1893" stopIfTrue="1" operator="between">
      <formula>13.1</formula>
      <formula>34</formula>
    </cfRule>
    <cfRule type="cellIs" dxfId="9104" priority="1894" stopIfTrue="1" operator="between">
      <formula>5.1</formula>
      <formula>13</formula>
    </cfRule>
    <cfRule type="cellIs" dxfId="9103" priority="1895" stopIfTrue="1" operator="between">
      <formula>0</formula>
      <formula>5</formula>
    </cfRule>
    <cfRule type="containsBlanks" dxfId="9102" priority="1896" stopIfTrue="1">
      <formula>LEN(TRIM(M188))=0</formula>
    </cfRule>
  </conditionalFormatting>
  <conditionalFormatting sqref="E184 G184:N184 P184">
    <cfRule type="containsBlanks" dxfId="9101" priority="1883" stopIfTrue="1">
      <formula>LEN(TRIM(E184))=0</formula>
    </cfRule>
    <cfRule type="cellIs" dxfId="9100" priority="1884" stopIfTrue="1" operator="between">
      <formula>80.1</formula>
      <formula>100</formula>
    </cfRule>
    <cfRule type="cellIs" dxfId="9099" priority="1885" stopIfTrue="1" operator="between">
      <formula>35.1</formula>
      <formula>80</formula>
    </cfRule>
    <cfRule type="cellIs" dxfId="9098" priority="1886" stopIfTrue="1" operator="between">
      <formula>14.1</formula>
      <formula>35</formula>
    </cfRule>
    <cfRule type="cellIs" dxfId="9097" priority="1887" stopIfTrue="1" operator="between">
      <formula>5.1</formula>
      <formula>14</formula>
    </cfRule>
    <cfRule type="cellIs" dxfId="9096" priority="1888" stopIfTrue="1" operator="between">
      <formula>0</formula>
      <formula>5</formula>
    </cfRule>
    <cfRule type="containsBlanks" dxfId="9095" priority="1889" stopIfTrue="1">
      <formula>LEN(TRIM(E184))=0</formula>
    </cfRule>
  </conditionalFormatting>
  <conditionalFormatting sqref="F184">
    <cfRule type="containsBlanks" dxfId="9094" priority="1876" stopIfTrue="1">
      <formula>LEN(TRIM(F184))=0</formula>
    </cfRule>
    <cfRule type="cellIs" dxfId="9093" priority="1877" stopIfTrue="1" operator="between">
      <formula>79.1</formula>
      <formula>100</formula>
    </cfRule>
    <cfRule type="cellIs" dxfId="9092" priority="1878" stopIfTrue="1" operator="between">
      <formula>34.1</formula>
      <formula>79</formula>
    </cfRule>
    <cfRule type="cellIs" dxfId="9091" priority="1879" stopIfTrue="1" operator="between">
      <formula>13.1</formula>
      <formula>34</formula>
    </cfRule>
    <cfRule type="cellIs" dxfId="9090" priority="1880" stopIfTrue="1" operator="between">
      <formula>5.1</formula>
      <formula>13</formula>
    </cfRule>
    <cfRule type="cellIs" dxfId="9089" priority="1881" stopIfTrue="1" operator="between">
      <formula>0</formula>
      <formula>5</formula>
    </cfRule>
    <cfRule type="containsBlanks" dxfId="9088" priority="1882" stopIfTrue="1">
      <formula>LEN(TRIM(F184))=0</formula>
    </cfRule>
  </conditionalFormatting>
  <conditionalFormatting sqref="O184">
    <cfRule type="containsBlanks" dxfId="9087" priority="1869" stopIfTrue="1">
      <formula>LEN(TRIM(O184))=0</formula>
    </cfRule>
    <cfRule type="cellIs" dxfId="9086" priority="1870" stopIfTrue="1" operator="between">
      <formula>79.1</formula>
      <formula>100</formula>
    </cfRule>
    <cfRule type="cellIs" dxfId="9085" priority="1871" stopIfTrue="1" operator="between">
      <formula>34.1</formula>
      <formula>79</formula>
    </cfRule>
    <cfRule type="cellIs" dxfId="9084" priority="1872" stopIfTrue="1" operator="between">
      <formula>13.1</formula>
      <formula>34</formula>
    </cfRule>
    <cfRule type="cellIs" dxfId="9083" priority="1873" stopIfTrue="1" operator="between">
      <formula>5.1</formula>
      <formula>13</formula>
    </cfRule>
    <cfRule type="cellIs" dxfId="9082" priority="1874" stopIfTrue="1" operator="between">
      <formula>0</formula>
      <formula>5</formula>
    </cfRule>
    <cfRule type="containsBlanks" dxfId="9081" priority="1875" stopIfTrue="1">
      <formula>LEN(TRIM(O184))=0</formula>
    </cfRule>
  </conditionalFormatting>
  <conditionalFormatting sqref="E186:G186 M186 O186:P186 I186:K186">
    <cfRule type="containsBlanks" dxfId="9080" priority="1862" stopIfTrue="1">
      <formula>LEN(TRIM(E186))=0</formula>
    </cfRule>
    <cfRule type="cellIs" dxfId="9079" priority="1863" stopIfTrue="1" operator="between">
      <formula>80.1</formula>
      <formula>100</formula>
    </cfRule>
    <cfRule type="cellIs" dxfId="9078" priority="1864" stopIfTrue="1" operator="between">
      <formula>35.1</formula>
      <formula>80</formula>
    </cfRule>
    <cfRule type="cellIs" dxfId="9077" priority="1865" stopIfTrue="1" operator="between">
      <formula>14.1</formula>
      <formula>35</formula>
    </cfRule>
    <cfRule type="cellIs" dxfId="9076" priority="1866" stopIfTrue="1" operator="between">
      <formula>5.1</formula>
      <formula>14</formula>
    </cfRule>
    <cfRule type="cellIs" dxfId="9075" priority="1867" stopIfTrue="1" operator="between">
      <formula>0</formula>
      <formula>5</formula>
    </cfRule>
    <cfRule type="containsBlanks" dxfId="9074" priority="1868" stopIfTrue="1">
      <formula>LEN(TRIM(E186))=0</formula>
    </cfRule>
  </conditionalFormatting>
  <conditionalFormatting sqref="L186">
    <cfRule type="containsBlanks" dxfId="9073" priority="1855" stopIfTrue="1">
      <formula>LEN(TRIM(L186))=0</formula>
    </cfRule>
    <cfRule type="cellIs" dxfId="9072" priority="1856" stopIfTrue="1" operator="between">
      <formula>79.1</formula>
      <formula>100</formula>
    </cfRule>
    <cfRule type="cellIs" dxfId="9071" priority="1857" stopIfTrue="1" operator="between">
      <formula>34.1</formula>
      <formula>79</formula>
    </cfRule>
    <cfRule type="cellIs" dxfId="9070" priority="1858" stopIfTrue="1" operator="between">
      <formula>13.1</formula>
      <formula>34</formula>
    </cfRule>
    <cfRule type="cellIs" dxfId="9069" priority="1859" stopIfTrue="1" operator="between">
      <formula>5.1</formula>
      <formula>13</formula>
    </cfRule>
    <cfRule type="cellIs" dxfId="9068" priority="1860" stopIfTrue="1" operator="between">
      <formula>0</formula>
      <formula>5</formula>
    </cfRule>
    <cfRule type="containsBlanks" dxfId="9067" priority="1861" stopIfTrue="1">
      <formula>LEN(TRIM(L186))=0</formula>
    </cfRule>
  </conditionalFormatting>
  <conditionalFormatting sqref="H186">
    <cfRule type="containsBlanks" dxfId="9066" priority="1848" stopIfTrue="1">
      <formula>LEN(TRIM(H186))=0</formula>
    </cfRule>
    <cfRule type="cellIs" dxfId="9065" priority="1849" stopIfTrue="1" operator="between">
      <formula>79.1</formula>
      <formula>100</formula>
    </cfRule>
    <cfRule type="cellIs" dxfId="9064" priority="1850" stopIfTrue="1" operator="between">
      <formula>34.1</formula>
      <formula>79</formula>
    </cfRule>
    <cfRule type="cellIs" dxfId="9063" priority="1851" stopIfTrue="1" operator="between">
      <formula>13.1</formula>
      <formula>34</formula>
    </cfRule>
    <cfRule type="cellIs" dxfId="9062" priority="1852" stopIfTrue="1" operator="between">
      <formula>5.1</formula>
      <formula>13</formula>
    </cfRule>
    <cfRule type="cellIs" dxfId="9061" priority="1853" stopIfTrue="1" operator="between">
      <formula>0</formula>
      <formula>5</formula>
    </cfRule>
    <cfRule type="containsBlanks" dxfId="9060" priority="1854" stopIfTrue="1">
      <formula>LEN(TRIM(H186))=0</formula>
    </cfRule>
  </conditionalFormatting>
  <conditionalFormatting sqref="N186">
    <cfRule type="containsBlanks" dxfId="9059" priority="1841" stopIfTrue="1">
      <formula>LEN(TRIM(N186))=0</formula>
    </cfRule>
    <cfRule type="cellIs" dxfId="9058" priority="1842" stopIfTrue="1" operator="between">
      <formula>79.1</formula>
      <formula>100</formula>
    </cfRule>
    <cfRule type="cellIs" dxfId="9057" priority="1843" stopIfTrue="1" operator="between">
      <formula>34.1</formula>
      <formula>79</formula>
    </cfRule>
    <cfRule type="cellIs" dxfId="9056" priority="1844" stopIfTrue="1" operator="between">
      <formula>13.1</formula>
      <formula>34</formula>
    </cfRule>
    <cfRule type="cellIs" dxfId="9055" priority="1845" stopIfTrue="1" operator="between">
      <formula>5.1</formula>
      <formula>13</formula>
    </cfRule>
    <cfRule type="cellIs" dxfId="9054" priority="1846" stopIfTrue="1" operator="between">
      <formula>0</formula>
      <formula>5</formula>
    </cfRule>
    <cfRule type="containsBlanks" dxfId="9053" priority="1847" stopIfTrue="1">
      <formula>LEN(TRIM(N186))=0</formula>
    </cfRule>
  </conditionalFormatting>
  <conditionalFormatting sqref="E185 M185:P185 I185:K185">
    <cfRule type="containsBlanks" dxfId="9052" priority="1834" stopIfTrue="1">
      <formula>LEN(TRIM(E185))=0</formula>
    </cfRule>
    <cfRule type="cellIs" dxfId="9051" priority="1835" stopIfTrue="1" operator="between">
      <formula>80.1</formula>
      <formula>100</formula>
    </cfRule>
    <cfRule type="cellIs" dxfId="9050" priority="1836" stopIfTrue="1" operator="between">
      <formula>35.1</formula>
      <formula>80</formula>
    </cfRule>
    <cfRule type="cellIs" dxfId="9049" priority="1837" stopIfTrue="1" operator="between">
      <formula>14.1</formula>
      <formula>35</formula>
    </cfRule>
    <cfRule type="cellIs" dxfId="9048" priority="1838" stopIfTrue="1" operator="between">
      <formula>5.1</formula>
      <formula>14</formula>
    </cfRule>
    <cfRule type="cellIs" dxfId="9047" priority="1839" stopIfTrue="1" operator="between">
      <formula>0</formula>
      <formula>5</formula>
    </cfRule>
    <cfRule type="containsBlanks" dxfId="9046" priority="1840" stopIfTrue="1">
      <formula>LEN(TRIM(E185))=0</formula>
    </cfRule>
  </conditionalFormatting>
  <conditionalFormatting sqref="H185">
    <cfRule type="containsBlanks" dxfId="9045" priority="1827" stopIfTrue="1">
      <formula>LEN(TRIM(H185))=0</formula>
    </cfRule>
    <cfRule type="cellIs" dxfId="9044" priority="1828" stopIfTrue="1" operator="between">
      <formula>79.1</formula>
      <formula>100</formula>
    </cfRule>
    <cfRule type="cellIs" dxfId="9043" priority="1829" stopIfTrue="1" operator="between">
      <formula>34.1</formula>
      <formula>79</formula>
    </cfRule>
    <cfRule type="cellIs" dxfId="9042" priority="1830" stopIfTrue="1" operator="between">
      <formula>13.1</formula>
      <formula>34</formula>
    </cfRule>
    <cfRule type="cellIs" dxfId="9041" priority="1831" stopIfTrue="1" operator="between">
      <formula>5.1</formula>
      <formula>13</formula>
    </cfRule>
    <cfRule type="cellIs" dxfId="9040" priority="1832" stopIfTrue="1" operator="between">
      <formula>0</formula>
      <formula>5</formula>
    </cfRule>
    <cfRule type="containsBlanks" dxfId="9039" priority="1833" stopIfTrue="1">
      <formula>LEN(TRIM(H185))=0</formula>
    </cfRule>
  </conditionalFormatting>
  <conditionalFormatting sqref="L185">
    <cfRule type="containsBlanks" dxfId="9038" priority="1820" stopIfTrue="1">
      <formula>LEN(TRIM(L185))=0</formula>
    </cfRule>
    <cfRule type="cellIs" dxfId="9037" priority="1821" stopIfTrue="1" operator="between">
      <formula>79.1</formula>
      <formula>100</formula>
    </cfRule>
    <cfRule type="cellIs" dxfId="9036" priority="1822" stopIfTrue="1" operator="between">
      <formula>34.1</formula>
      <formula>79</formula>
    </cfRule>
    <cfRule type="cellIs" dxfId="9035" priority="1823" stopIfTrue="1" operator="between">
      <formula>13.1</formula>
      <formula>34</formula>
    </cfRule>
    <cfRule type="cellIs" dxfId="9034" priority="1824" stopIfTrue="1" operator="between">
      <formula>5.1</formula>
      <formula>13</formula>
    </cfRule>
    <cfRule type="cellIs" dxfId="9033" priority="1825" stopIfTrue="1" operator="between">
      <formula>0</formula>
      <formula>5</formula>
    </cfRule>
    <cfRule type="containsBlanks" dxfId="9032" priority="1826" stopIfTrue="1">
      <formula>LEN(TRIM(L185))=0</formula>
    </cfRule>
  </conditionalFormatting>
  <conditionalFormatting sqref="F185">
    <cfRule type="containsBlanks" dxfId="9031" priority="1813" stopIfTrue="1">
      <formula>LEN(TRIM(F185))=0</formula>
    </cfRule>
    <cfRule type="cellIs" dxfId="9030" priority="1814" stopIfTrue="1" operator="between">
      <formula>79.1</formula>
      <formula>100</formula>
    </cfRule>
    <cfRule type="cellIs" dxfId="9029" priority="1815" stopIfTrue="1" operator="between">
      <formula>34.1</formula>
      <formula>79</formula>
    </cfRule>
    <cfRule type="cellIs" dxfId="9028" priority="1816" stopIfTrue="1" operator="between">
      <formula>13.1</formula>
      <formula>34</formula>
    </cfRule>
    <cfRule type="cellIs" dxfId="9027" priority="1817" stopIfTrue="1" operator="between">
      <formula>5.1</formula>
      <formula>13</formula>
    </cfRule>
    <cfRule type="cellIs" dxfId="9026" priority="1818" stopIfTrue="1" operator="between">
      <formula>0</formula>
      <formula>5</formula>
    </cfRule>
    <cfRule type="containsBlanks" dxfId="9025" priority="1819" stopIfTrue="1">
      <formula>LEN(TRIM(F185))=0</formula>
    </cfRule>
  </conditionalFormatting>
  <conditionalFormatting sqref="G185">
    <cfRule type="containsBlanks" dxfId="9024" priority="1806" stopIfTrue="1">
      <formula>LEN(TRIM(G185))=0</formula>
    </cfRule>
    <cfRule type="cellIs" dxfId="9023" priority="1807" stopIfTrue="1" operator="between">
      <formula>79.1</formula>
      <formula>100</formula>
    </cfRule>
    <cfRule type="cellIs" dxfId="9022" priority="1808" stopIfTrue="1" operator="between">
      <formula>34.1</formula>
      <formula>79</formula>
    </cfRule>
    <cfRule type="cellIs" dxfId="9021" priority="1809" stopIfTrue="1" operator="between">
      <formula>13.1</formula>
      <formula>34</formula>
    </cfRule>
    <cfRule type="cellIs" dxfId="9020" priority="1810" stopIfTrue="1" operator="between">
      <formula>5.1</formula>
      <formula>13</formula>
    </cfRule>
    <cfRule type="cellIs" dxfId="9019" priority="1811" stopIfTrue="1" operator="between">
      <formula>0</formula>
      <formula>5</formula>
    </cfRule>
    <cfRule type="containsBlanks" dxfId="9018" priority="1812" stopIfTrue="1">
      <formula>LEN(TRIM(G185))=0</formula>
    </cfRule>
  </conditionalFormatting>
  <conditionalFormatting sqref="G190:I190 E190 K190:P190">
    <cfRule type="containsBlanks" dxfId="9017" priority="1799" stopIfTrue="1">
      <formula>LEN(TRIM(E190))=0</formula>
    </cfRule>
    <cfRule type="cellIs" dxfId="9016" priority="1800" stopIfTrue="1" operator="between">
      <formula>80.1</formula>
      <formula>100</formula>
    </cfRule>
    <cfRule type="cellIs" dxfId="9015" priority="1801" stopIfTrue="1" operator="between">
      <formula>35.1</formula>
      <formula>80</formula>
    </cfRule>
    <cfRule type="cellIs" dxfId="9014" priority="1802" stopIfTrue="1" operator="between">
      <formula>14.1</formula>
      <formula>35</formula>
    </cfRule>
    <cfRule type="cellIs" dxfId="9013" priority="1803" stopIfTrue="1" operator="between">
      <formula>5.1</formula>
      <formula>14</formula>
    </cfRule>
    <cfRule type="cellIs" dxfId="9012" priority="1804" stopIfTrue="1" operator="between">
      <formula>0</formula>
      <formula>5</formula>
    </cfRule>
    <cfRule type="containsBlanks" dxfId="9011" priority="1805" stopIfTrue="1">
      <formula>LEN(TRIM(E190))=0</formula>
    </cfRule>
  </conditionalFormatting>
  <conditionalFormatting sqref="F190">
    <cfRule type="containsBlanks" dxfId="9010" priority="1792" stopIfTrue="1">
      <formula>LEN(TRIM(F190))=0</formula>
    </cfRule>
    <cfRule type="cellIs" dxfId="9009" priority="1793" stopIfTrue="1" operator="between">
      <formula>79.1</formula>
      <formula>100</formula>
    </cfRule>
    <cfRule type="cellIs" dxfId="9008" priority="1794" stopIfTrue="1" operator="between">
      <formula>34.1</formula>
      <formula>79</formula>
    </cfRule>
    <cfRule type="cellIs" dxfId="9007" priority="1795" stopIfTrue="1" operator="between">
      <formula>13.1</formula>
      <formula>34</formula>
    </cfRule>
    <cfRule type="cellIs" dxfId="9006" priority="1796" stopIfTrue="1" operator="between">
      <formula>5.1</formula>
      <formula>13</formula>
    </cfRule>
    <cfRule type="cellIs" dxfId="9005" priority="1797" stopIfTrue="1" operator="between">
      <formula>0</formula>
      <formula>5</formula>
    </cfRule>
    <cfRule type="containsBlanks" dxfId="9004" priority="1798" stopIfTrue="1">
      <formula>LEN(TRIM(F190))=0</formula>
    </cfRule>
  </conditionalFormatting>
  <conditionalFormatting sqref="J190">
    <cfRule type="containsBlanks" dxfId="9003" priority="1785" stopIfTrue="1">
      <formula>LEN(TRIM(J190))=0</formula>
    </cfRule>
    <cfRule type="cellIs" dxfId="9002" priority="1786" stopIfTrue="1" operator="between">
      <formula>79.1</formula>
      <formula>100</formula>
    </cfRule>
    <cfRule type="cellIs" dxfId="9001" priority="1787" stopIfTrue="1" operator="between">
      <formula>34.1</formula>
      <formula>79</formula>
    </cfRule>
    <cfRule type="cellIs" dxfId="9000" priority="1788" stopIfTrue="1" operator="between">
      <formula>13.1</formula>
      <formula>34</formula>
    </cfRule>
    <cfRule type="cellIs" dxfId="8999" priority="1789" stopIfTrue="1" operator="between">
      <formula>5.1</formula>
      <formula>13</formula>
    </cfRule>
    <cfRule type="cellIs" dxfId="8998" priority="1790" stopIfTrue="1" operator="between">
      <formula>0</formula>
      <formula>5</formula>
    </cfRule>
    <cfRule type="containsBlanks" dxfId="8997" priority="1791" stopIfTrue="1">
      <formula>LEN(TRIM(J190))=0</formula>
    </cfRule>
  </conditionalFormatting>
  <conditionalFormatting sqref="E191 P191 G191:K191 M191:N191">
    <cfRule type="containsBlanks" dxfId="8996" priority="1778" stopIfTrue="1">
      <formula>LEN(TRIM(E191))=0</formula>
    </cfRule>
    <cfRule type="cellIs" dxfId="8995" priority="1779" stopIfTrue="1" operator="between">
      <formula>80.1</formula>
      <formula>100</formula>
    </cfRule>
    <cfRule type="cellIs" dxfId="8994" priority="1780" stopIfTrue="1" operator="between">
      <formula>35.1</formula>
      <formula>80</formula>
    </cfRule>
    <cfRule type="cellIs" dxfId="8993" priority="1781" stopIfTrue="1" operator="between">
      <formula>14.1</formula>
      <formula>35</formula>
    </cfRule>
    <cfRule type="cellIs" dxfId="8992" priority="1782" stopIfTrue="1" operator="between">
      <formula>5.1</formula>
      <formula>14</formula>
    </cfRule>
    <cfRule type="cellIs" dxfId="8991" priority="1783" stopIfTrue="1" operator="between">
      <formula>0</formula>
      <formula>5</formula>
    </cfRule>
    <cfRule type="containsBlanks" dxfId="8990" priority="1784" stopIfTrue="1">
      <formula>LEN(TRIM(E191))=0</formula>
    </cfRule>
  </conditionalFormatting>
  <conditionalFormatting sqref="O191">
    <cfRule type="containsBlanks" dxfId="8989" priority="1771" stopIfTrue="1">
      <formula>LEN(TRIM(O191))=0</formula>
    </cfRule>
    <cfRule type="cellIs" dxfId="8988" priority="1772" stopIfTrue="1" operator="between">
      <formula>79.1</formula>
      <formula>100</formula>
    </cfRule>
    <cfRule type="cellIs" dxfId="8987" priority="1773" stopIfTrue="1" operator="between">
      <formula>34.1</formula>
      <formula>79</formula>
    </cfRule>
    <cfRule type="cellIs" dxfId="8986" priority="1774" stopIfTrue="1" operator="between">
      <formula>13.1</formula>
      <formula>34</formula>
    </cfRule>
    <cfRule type="cellIs" dxfId="8985" priority="1775" stopIfTrue="1" operator="between">
      <formula>5.1</formula>
      <formula>13</formula>
    </cfRule>
    <cfRule type="cellIs" dxfId="8984" priority="1776" stopIfTrue="1" operator="between">
      <formula>0</formula>
      <formula>5</formula>
    </cfRule>
    <cfRule type="containsBlanks" dxfId="8983" priority="1777" stopIfTrue="1">
      <formula>LEN(TRIM(O191))=0</formula>
    </cfRule>
  </conditionalFormatting>
  <conditionalFormatting sqref="F191">
    <cfRule type="containsBlanks" dxfId="8982" priority="1764" stopIfTrue="1">
      <formula>LEN(TRIM(F191))=0</formula>
    </cfRule>
    <cfRule type="cellIs" dxfId="8981" priority="1765" stopIfTrue="1" operator="between">
      <formula>79.1</formula>
      <formula>100</formula>
    </cfRule>
    <cfRule type="cellIs" dxfId="8980" priority="1766" stopIfTrue="1" operator="between">
      <formula>34.1</formula>
      <formula>79</formula>
    </cfRule>
    <cfRule type="cellIs" dxfId="8979" priority="1767" stopIfTrue="1" operator="between">
      <formula>13.1</formula>
      <formula>34</formula>
    </cfRule>
    <cfRule type="cellIs" dxfId="8978" priority="1768" stopIfTrue="1" operator="between">
      <formula>5.1</formula>
      <formula>13</formula>
    </cfRule>
    <cfRule type="cellIs" dxfId="8977" priority="1769" stopIfTrue="1" operator="between">
      <formula>0</formula>
      <formula>5</formula>
    </cfRule>
    <cfRule type="containsBlanks" dxfId="8976" priority="1770" stopIfTrue="1">
      <formula>LEN(TRIM(F191))=0</formula>
    </cfRule>
  </conditionalFormatting>
  <conditionalFormatting sqref="I192:K192 E192:F192 O192:P192">
    <cfRule type="containsBlanks" dxfId="8975" priority="1750" stopIfTrue="1">
      <formula>LEN(TRIM(E192))=0</formula>
    </cfRule>
    <cfRule type="cellIs" dxfId="8974" priority="1751" stopIfTrue="1" operator="between">
      <formula>80.1</formula>
      <formula>100</formula>
    </cfRule>
    <cfRule type="cellIs" dxfId="8973" priority="1752" stopIfTrue="1" operator="between">
      <formula>35.1</formula>
      <formula>80</formula>
    </cfRule>
    <cfRule type="cellIs" dxfId="8972" priority="1753" stopIfTrue="1" operator="between">
      <formula>14.1</formula>
      <formula>35</formula>
    </cfRule>
    <cfRule type="cellIs" dxfId="8971" priority="1754" stopIfTrue="1" operator="between">
      <formula>5.1</formula>
      <formula>14</formula>
    </cfRule>
    <cfRule type="cellIs" dxfId="8970" priority="1755" stopIfTrue="1" operator="between">
      <formula>0</formula>
      <formula>5</formula>
    </cfRule>
    <cfRule type="containsBlanks" dxfId="8969" priority="1756" stopIfTrue="1">
      <formula>LEN(TRIM(E192))=0</formula>
    </cfRule>
  </conditionalFormatting>
  <conditionalFormatting sqref="M192">
    <cfRule type="containsBlanks" dxfId="8968" priority="1743" stopIfTrue="1">
      <formula>LEN(TRIM(M192))=0</formula>
    </cfRule>
    <cfRule type="cellIs" dxfId="8967" priority="1744" stopIfTrue="1" operator="between">
      <formula>79.1</formula>
      <formula>100</formula>
    </cfRule>
    <cfRule type="cellIs" dxfId="8966" priority="1745" stopIfTrue="1" operator="between">
      <formula>34.1</formula>
      <formula>79</formula>
    </cfRule>
    <cfRule type="cellIs" dxfId="8965" priority="1746" stopIfTrue="1" operator="between">
      <formula>13.1</formula>
      <formula>34</formula>
    </cfRule>
    <cfRule type="cellIs" dxfId="8964" priority="1747" stopIfTrue="1" operator="between">
      <formula>5.1</formula>
      <formula>13</formula>
    </cfRule>
    <cfRule type="cellIs" dxfId="8963" priority="1748" stopIfTrue="1" operator="between">
      <formula>0</formula>
      <formula>5</formula>
    </cfRule>
    <cfRule type="containsBlanks" dxfId="8962" priority="1749" stopIfTrue="1">
      <formula>LEN(TRIM(M192))=0</formula>
    </cfRule>
  </conditionalFormatting>
  <conditionalFormatting sqref="H192">
    <cfRule type="containsBlanks" dxfId="8961" priority="1729" stopIfTrue="1">
      <formula>LEN(TRIM(H192))=0</formula>
    </cfRule>
    <cfRule type="cellIs" dxfId="8960" priority="1730" stopIfTrue="1" operator="between">
      <formula>79.1</formula>
      <formula>100</formula>
    </cfRule>
    <cfRule type="cellIs" dxfId="8959" priority="1731" stopIfTrue="1" operator="between">
      <formula>34.1</formula>
      <formula>79</formula>
    </cfRule>
    <cfRule type="cellIs" dxfId="8958" priority="1732" stopIfTrue="1" operator="between">
      <formula>13.1</formula>
      <formula>34</formula>
    </cfRule>
    <cfRule type="cellIs" dxfId="8957" priority="1733" stopIfTrue="1" operator="between">
      <formula>5.1</formula>
      <formula>13</formula>
    </cfRule>
    <cfRule type="cellIs" dxfId="8956" priority="1734" stopIfTrue="1" operator="between">
      <formula>0</formula>
      <formula>5</formula>
    </cfRule>
    <cfRule type="containsBlanks" dxfId="8955" priority="1735" stopIfTrue="1">
      <formula>LEN(TRIM(H192))=0</formula>
    </cfRule>
  </conditionalFormatting>
  <conditionalFormatting sqref="L192">
    <cfRule type="containsBlanks" dxfId="8954" priority="1722" stopIfTrue="1">
      <formula>LEN(TRIM(L192))=0</formula>
    </cfRule>
    <cfRule type="cellIs" dxfId="8953" priority="1723" stopIfTrue="1" operator="between">
      <formula>79.1</formula>
      <formula>100</formula>
    </cfRule>
    <cfRule type="cellIs" dxfId="8952" priority="1724" stopIfTrue="1" operator="between">
      <formula>34.1</formula>
      <formula>79</formula>
    </cfRule>
    <cfRule type="cellIs" dxfId="8951" priority="1725" stopIfTrue="1" operator="between">
      <formula>13.1</formula>
      <formula>34</formula>
    </cfRule>
    <cfRule type="cellIs" dxfId="8950" priority="1726" stopIfTrue="1" operator="between">
      <formula>5.1</formula>
      <formula>13</formula>
    </cfRule>
    <cfRule type="cellIs" dxfId="8949" priority="1727" stopIfTrue="1" operator="between">
      <formula>0</formula>
      <formula>5</formula>
    </cfRule>
    <cfRule type="containsBlanks" dxfId="8948" priority="1728" stopIfTrue="1">
      <formula>LEN(TRIM(L192))=0</formula>
    </cfRule>
  </conditionalFormatting>
  <conditionalFormatting sqref="E189:J189 L189 O189:P189">
    <cfRule type="containsBlanks" dxfId="8947" priority="1715" stopIfTrue="1">
      <formula>LEN(TRIM(E189))=0</formula>
    </cfRule>
    <cfRule type="cellIs" dxfId="8946" priority="1716" stopIfTrue="1" operator="between">
      <formula>80.1</formula>
      <formula>100</formula>
    </cfRule>
    <cfRule type="cellIs" dxfId="8945" priority="1717" stopIfTrue="1" operator="between">
      <formula>35.1</formula>
      <formula>80</formula>
    </cfRule>
    <cfRule type="cellIs" dxfId="8944" priority="1718" stopIfTrue="1" operator="between">
      <formula>14.1</formula>
      <formula>35</formula>
    </cfRule>
    <cfRule type="cellIs" dxfId="8943" priority="1719" stopIfTrue="1" operator="between">
      <formula>5.1</formula>
      <formula>14</formula>
    </cfRule>
    <cfRule type="cellIs" dxfId="8942" priority="1720" stopIfTrue="1" operator="between">
      <formula>0</formula>
      <formula>5</formula>
    </cfRule>
    <cfRule type="containsBlanks" dxfId="8941" priority="1721" stopIfTrue="1">
      <formula>LEN(TRIM(E189))=0</formula>
    </cfRule>
  </conditionalFormatting>
  <conditionalFormatting sqref="K189">
    <cfRule type="containsBlanks" dxfId="8940" priority="1708" stopIfTrue="1">
      <formula>LEN(TRIM(K189))=0</formula>
    </cfRule>
    <cfRule type="cellIs" dxfId="8939" priority="1709" stopIfTrue="1" operator="between">
      <formula>79.1</formula>
      <formula>100</formula>
    </cfRule>
    <cfRule type="cellIs" dxfId="8938" priority="1710" stopIfTrue="1" operator="between">
      <formula>34.1</formula>
      <formula>79</formula>
    </cfRule>
    <cfRule type="cellIs" dxfId="8937" priority="1711" stopIfTrue="1" operator="between">
      <formula>13.1</formula>
      <formula>34</formula>
    </cfRule>
    <cfRule type="cellIs" dxfId="8936" priority="1712" stopIfTrue="1" operator="between">
      <formula>5.1</formula>
      <formula>13</formula>
    </cfRule>
    <cfRule type="cellIs" dxfId="8935" priority="1713" stopIfTrue="1" operator="between">
      <formula>0</formula>
      <formula>5</formula>
    </cfRule>
    <cfRule type="containsBlanks" dxfId="8934" priority="1714" stopIfTrue="1">
      <formula>LEN(TRIM(K189))=0</formula>
    </cfRule>
  </conditionalFormatting>
  <conditionalFormatting sqref="N189">
    <cfRule type="containsBlanks" dxfId="8933" priority="1701" stopIfTrue="1">
      <formula>LEN(TRIM(N189))=0</formula>
    </cfRule>
    <cfRule type="cellIs" dxfId="8932" priority="1702" stopIfTrue="1" operator="between">
      <formula>79.1</formula>
      <formula>100</formula>
    </cfRule>
    <cfRule type="cellIs" dxfId="8931" priority="1703" stopIfTrue="1" operator="between">
      <formula>34.1</formula>
      <formula>79</formula>
    </cfRule>
    <cfRule type="cellIs" dxfId="8930" priority="1704" stopIfTrue="1" operator="between">
      <formula>13.1</formula>
      <formula>34</formula>
    </cfRule>
    <cfRule type="cellIs" dxfId="8929" priority="1705" stopIfTrue="1" operator="between">
      <formula>5.1</formula>
      <formula>13</formula>
    </cfRule>
    <cfRule type="cellIs" dxfId="8928" priority="1706" stopIfTrue="1" operator="between">
      <formula>0</formula>
      <formula>5</formula>
    </cfRule>
    <cfRule type="containsBlanks" dxfId="8927" priority="1707" stopIfTrue="1">
      <formula>LEN(TRIM(N189))=0</formula>
    </cfRule>
  </conditionalFormatting>
  <conditionalFormatting sqref="M189">
    <cfRule type="containsBlanks" dxfId="8926" priority="1694" stopIfTrue="1">
      <formula>LEN(TRIM(M189))=0</formula>
    </cfRule>
    <cfRule type="cellIs" dxfId="8925" priority="1695" stopIfTrue="1" operator="between">
      <formula>79.1</formula>
      <formula>100</formula>
    </cfRule>
    <cfRule type="cellIs" dxfId="8924" priority="1696" stopIfTrue="1" operator="between">
      <formula>34.1</formula>
      <formula>79</formula>
    </cfRule>
    <cfRule type="cellIs" dxfId="8923" priority="1697" stopIfTrue="1" operator="between">
      <formula>13.1</formula>
      <formula>34</formula>
    </cfRule>
    <cfRule type="cellIs" dxfId="8922" priority="1698" stopIfTrue="1" operator="between">
      <formula>5.1</formula>
      <formula>13</formula>
    </cfRule>
    <cfRule type="cellIs" dxfId="8921" priority="1699" stopIfTrue="1" operator="between">
      <formula>0</formula>
      <formula>5</formula>
    </cfRule>
    <cfRule type="containsBlanks" dxfId="8920" priority="1700" stopIfTrue="1">
      <formula>LEN(TRIM(M189))=0</formula>
    </cfRule>
  </conditionalFormatting>
  <conditionalFormatting sqref="E194:G194 K194:N194 P194">
    <cfRule type="containsBlanks" dxfId="8919" priority="1687" stopIfTrue="1">
      <formula>LEN(TRIM(E194))=0</formula>
    </cfRule>
    <cfRule type="cellIs" dxfId="8918" priority="1688" stopIfTrue="1" operator="between">
      <formula>80.1</formula>
      <formula>100</formula>
    </cfRule>
    <cfRule type="cellIs" dxfId="8917" priority="1689" stopIfTrue="1" operator="between">
      <formula>35.1</formula>
      <formula>80</formula>
    </cfRule>
    <cfRule type="cellIs" dxfId="8916" priority="1690" stopIfTrue="1" operator="between">
      <formula>14.1</formula>
      <formula>35</formula>
    </cfRule>
    <cfRule type="cellIs" dxfId="8915" priority="1691" stopIfTrue="1" operator="between">
      <formula>5.1</formula>
      <formula>14</formula>
    </cfRule>
    <cfRule type="cellIs" dxfId="8914" priority="1692" stopIfTrue="1" operator="between">
      <formula>0</formula>
      <formula>5</formula>
    </cfRule>
    <cfRule type="containsBlanks" dxfId="8913" priority="1693" stopIfTrue="1">
      <formula>LEN(TRIM(E194))=0</formula>
    </cfRule>
  </conditionalFormatting>
  <conditionalFormatting sqref="H194">
    <cfRule type="containsBlanks" dxfId="8912" priority="1680" stopIfTrue="1">
      <formula>LEN(TRIM(H194))=0</formula>
    </cfRule>
    <cfRule type="cellIs" dxfId="8911" priority="1681" stopIfTrue="1" operator="between">
      <formula>79.1</formula>
      <formula>100</formula>
    </cfRule>
    <cfRule type="cellIs" dxfId="8910" priority="1682" stopIfTrue="1" operator="between">
      <formula>34.1</formula>
      <formula>79</formula>
    </cfRule>
    <cfRule type="cellIs" dxfId="8909" priority="1683" stopIfTrue="1" operator="between">
      <formula>13.1</formula>
      <formula>34</formula>
    </cfRule>
    <cfRule type="cellIs" dxfId="8908" priority="1684" stopIfTrue="1" operator="between">
      <formula>5.1</formula>
      <formula>13</formula>
    </cfRule>
    <cfRule type="cellIs" dxfId="8907" priority="1685" stopIfTrue="1" operator="between">
      <formula>0</formula>
      <formula>5</formula>
    </cfRule>
    <cfRule type="containsBlanks" dxfId="8906" priority="1686" stopIfTrue="1">
      <formula>LEN(TRIM(H194))=0</formula>
    </cfRule>
  </conditionalFormatting>
  <conditionalFormatting sqref="I194">
    <cfRule type="containsBlanks" dxfId="8905" priority="1673" stopIfTrue="1">
      <formula>LEN(TRIM(I194))=0</formula>
    </cfRule>
    <cfRule type="cellIs" dxfId="8904" priority="1674" stopIfTrue="1" operator="between">
      <formula>79.1</formula>
      <formula>100</formula>
    </cfRule>
    <cfRule type="cellIs" dxfId="8903" priority="1675" stopIfTrue="1" operator="between">
      <formula>34.1</formula>
      <formula>79</formula>
    </cfRule>
    <cfRule type="cellIs" dxfId="8902" priority="1676" stopIfTrue="1" operator="between">
      <formula>13.1</formula>
      <formula>34</formula>
    </cfRule>
    <cfRule type="cellIs" dxfId="8901" priority="1677" stopIfTrue="1" operator="between">
      <formula>5.1</formula>
      <formula>13</formula>
    </cfRule>
    <cfRule type="cellIs" dxfId="8900" priority="1678" stopIfTrue="1" operator="between">
      <formula>0</formula>
      <formula>5</formula>
    </cfRule>
    <cfRule type="containsBlanks" dxfId="8899" priority="1679" stopIfTrue="1">
      <formula>LEN(TRIM(I194))=0</formula>
    </cfRule>
  </conditionalFormatting>
  <conditionalFormatting sqref="J194">
    <cfRule type="containsBlanks" dxfId="8898" priority="1666" stopIfTrue="1">
      <formula>LEN(TRIM(J194))=0</formula>
    </cfRule>
    <cfRule type="cellIs" dxfId="8897" priority="1667" stopIfTrue="1" operator="between">
      <formula>79.1</formula>
      <formula>100</formula>
    </cfRule>
    <cfRule type="cellIs" dxfId="8896" priority="1668" stopIfTrue="1" operator="between">
      <formula>34.1</formula>
      <formula>79</formula>
    </cfRule>
    <cfRule type="cellIs" dxfId="8895" priority="1669" stopIfTrue="1" operator="between">
      <formula>13.1</formula>
      <formula>34</formula>
    </cfRule>
    <cfRule type="cellIs" dxfId="8894" priority="1670" stopIfTrue="1" operator="between">
      <formula>5.1</formula>
      <formula>13</formula>
    </cfRule>
    <cfRule type="cellIs" dxfId="8893" priority="1671" stopIfTrue="1" operator="between">
      <formula>0</formula>
      <formula>5</formula>
    </cfRule>
    <cfRule type="containsBlanks" dxfId="8892" priority="1672" stopIfTrue="1">
      <formula>LEN(TRIM(J194))=0</formula>
    </cfRule>
  </conditionalFormatting>
  <conditionalFormatting sqref="O194">
    <cfRule type="containsBlanks" dxfId="8891" priority="1659" stopIfTrue="1">
      <formula>LEN(TRIM(O194))=0</formula>
    </cfRule>
    <cfRule type="cellIs" dxfId="8890" priority="1660" stopIfTrue="1" operator="between">
      <formula>79.1</formula>
      <formula>100</formula>
    </cfRule>
    <cfRule type="cellIs" dxfId="8889" priority="1661" stopIfTrue="1" operator="between">
      <formula>34.1</formula>
      <formula>79</formula>
    </cfRule>
    <cfRule type="cellIs" dxfId="8888" priority="1662" stopIfTrue="1" operator="between">
      <formula>13.1</formula>
      <formula>34</formula>
    </cfRule>
    <cfRule type="cellIs" dxfId="8887" priority="1663" stopIfTrue="1" operator="between">
      <formula>5.1</formula>
      <formula>13</formula>
    </cfRule>
    <cfRule type="cellIs" dxfId="8886" priority="1664" stopIfTrue="1" operator="between">
      <formula>0</formula>
      <formula>5</formula>
    </cfRule>
    <cfRule type="containsBlanks" dxfId="8885" priority="1665" stopIfTrue="1">
      <formula>LEN(TRIM(O194))=0</formula>
    </cfRule>
  </conditionalFormatting>
  <conditionalFormatting sqref="E204:G204 I204 K204 M204:P204">
    <cfRule type="containsBlanks" dxfId="8884" priority="1652" stopIfTrue="1">
      <formula>LEN(TRIM(E204))=0</formula>
    </cfRule>
    <cfRule type="cellIs" dxfId="8883" priority="1653" stopIfTrue="1" operator="between">
      <formula>80.1</formula>
      <formula>100</formula>
    </cfRule>
    <cfRule type="cellIs" dxfId="8882" priority="1654" stopIfTrue="1" operator="between">
      <formula>35.1</formula>
      <formula>80</formula>
    </cfRule>
    <cfRule type="cellIs" dxfId="8881" priority="1655" stopIfTrue="1" operator="between">
      <formula>14.1</formula>
      <formula>35</formula>
    </cfRule>
    <cfRule type="cellIs" dxfId="8880" priority="1656" stopIfTrue="1" operator="between">
      <formula>5.1</formula>
      <formula>14</formula>
    </cfRule>
    <cfRule type="cellIs" dxfId="8879" priority="1657" stopIfTrue="1" operator="between">
      <formula>0</formula>
      <formula>5</formula>
    </cfRule>
    <cfRule type="containsBlanks" dxfId="8878" priority="1658" stopIfTrue="1">
      <formula>LEN(TRIM(E204))=0</formula>
    </cfRule>
  </conditionalFormatting>
  <conditionalFormatting sqref="H204">
    <cfRule type="containsBlanks" dxfId="8877" priority="1645" stopIfTrue="1">
      <formula>LEN(TRIM(H204))=0</formula>
    </cfRule>
    <cfRule type="cellIs" dxfId="8876" priority="1646" stopIfTrue="1" operator="between">
      <formula>79.1</formula>
      <formula>100</formula>
    </cfRule>
    <cfRule type="cellIs" dxfId="8875" priority="1647" stopIfTrue="1" operator="between">
      <formula>34.1</formula>
      <formula>79</formula>
    </cfRule>
    <cfRule type="cellIs" dxfId="8874" priority="1648" stopIfTrue="1" operator="between">
      <formula>13.1</formula>
      <formula>34</formula>
    </cfRule>
    <cfRule type="cellIs" dxfId="8873" priority="1649" stopIfTrue="1" operator="between">
      <formula>5.1</formula>
      <formula>13</formula>
    </cfRule>
    <cfRule type="cellIs" dxfId="8872" priority="1650" stopIfTrue="1" operator="between">
      <formula>0</formula>
      <formula>5</formula>
    </cfRule>
    <cfRule type="containsBlanks" dxfId="8871" priority="1651" stopIfTrue="1">
      <formula>LEN(TRIM(H204))=0</formula>
    </cfRule>
  </conditionalFormatting>
  <conditionalFormatting sqref="J204">
    <cfRule type="containsBlanks" dxfId="8870" priority="1638" stopIfTrue="1">
      <formula>LEN(TRIM(J204))=0</formula>
    </cfRule>
    <cfRule type="cellIs" dxfId="8869" priority="1639" stopIfTrue="1" operator="between">
      <formula>79.1</formula>
      <formula>100</formula>
    </cfRule>
    <cfRule type="cellIs" dxfId="8868" priority="1640" stopIfTrue="1" operator="between">
      <formula>34.1</formula>
      <formula>79</formula>
    </cfRule>
    <cfRule type="cellIs" dxfId="8867" priority="1641" stopIfTrue="1" operator="between">
      <formula>13.1</formula>
      <formula>34</formula>
    </cfRule>
    <cfRule type="cellIs" dxfId="8866" priority="1642" stopIfTrue="1" operator="between">
      <formula>5.1</formula>
      <formula>13</formula>
    </cfRule>
    <cfRule type="cellIs" dxfId="8865" priority="1643" stopIfTrue="1" operator="between">
      <formula>0</formula>
      <formula>5</formula>
    </cfRule>
    <cfRule type="containsBlanks" dxfId="8864" priority="1644" stopIfTrue="1">
      <formula>LEN(TRIM(J204))=0</formula>
    </cfRule>
  </conditionalFormatting>
  <conditionalFormatting sqref="L204">
    <cfRule type="containsBlanks" dxfId="8863" priority="1631" stopIfTrue="1">
      <formula>LEN(TRIM(L204))=0</formula>
    </cfRule>
    <cfRule type="cellIs" dxfId="8862" priority="1632" stopIfTrue="1" operator="between">
      <formula>79.1</formula>
      <formula>100</formula>
    </cfRule>
    <cfRule type="cellIs" dxfId="8861" priority="1633" stopIfTrue="1" operator="between">
      <formula>34.1</formula>
      <formula>79</formula>
    </cfRule>
    <cfRule type="cellIs" dxfId="8860" priority="1634" stopIfTrue="1" operator="between">
      <formula>13.1</formula>
      <formula>34</formula>
    </cfRule>
    <cfRule type="cellIs" dxfId="8859" priority="1635" stopIfTrue="1" operator="between">
      <formula>5.1</formula>
      <formula>13</formula>
    </cfRule>
    <cfRule type="cellIs" dxfId="8858" priority="1636" stopIfTrue="1" operator="between">
      <formula>0</formula>
      <formula>5</formula>
    </cfRule>
    <cfRule type="containsBlanks" dxfId="8857" priority="1637" stopIfTrue="1">
      <formula>LEN(TRIM(L204))=0</formula>
    </cfRule>
  </conditionalFormatting>
  <conditionalFormatting sqref="I203 E203 G203 K203 M203 O203:P203">
    <cfRule type="containsBlanks" dxfId="8856" priority="1624" stopIfTrue="1">
      <formula>LEN(TRIM(E203))=0</formula>
    </cfRule>
    <cfRule type="cellIs" dxfId="8855" priority="1625" stopIfTrue="1" operator="between">
      <formula>80.1</formula>
      <formula>100</formula>
    </cfRule>
    <cfRule type="cellIs" dxfId="8854" priority="1626" stopIfTrue="1" operator="between">
      <formula>35.1</formula>
      <formula>80</formula>
    </cfRule>
    <cfRule type="cellIs" dxfId="8853" priority="1627" stopIfTrue="1" operator="between">
      <formula>14.1</formula>
      <formula>35</formula>
    </cfRule>
    <cfRule type="cellIs" dxfId="8852" priority="1628" stopIfTrue="1" operator="between">
      <formula>5.1</formula>
      <formula>14</formula>
    </cfRule>
    <cfRule type="cellIs" dxfId="8851" priority="1629" stopIfTrue="1" operator="between">
      <formula>0</formula>
      <formula>5</formula>
    </cfRule>
    <cfRule type="containsBlanks" dxfId="8850" priority="1630" stopIfTrue="1">
      <formula>LEN(TRIM(E203))=0</formula>
    </cfRule>
  </conditionalFormatting>
  <conditionalFormatting sqref="L203">
    <cfRule type="containsBlanks" dxfId="8849" priority="1617" stopIfTrue="1">
      <formula>LEN(TRIM(L203))=0</formula>
    </cfRule>
    <cfRule type="cellIs" dxfId="8848" priority="1618" stopIfTrue="1" operator="between">
      <formula>79.1</formula>
      <formula>100</formula>
    </cfRule>
    <cfRule type="cellIs" dxfId="8847" priority="1619" stopIfTrue="1" operator="between">
      <formula>34.1</formula>
      <formula>79</formula>
    </cfRule>
    <cfRule type="cellIs" dxfId="8846" priority="1620" stopIfTrue="1" operator="between">
      <formula>13.1</formula>
      <formula>34</formula>
    </cfRule>
    <cfRule type="cellIs" dxfId="8845" priority="1621" stopIfTrue="1" operator="between">
      <formula>5.1</formula>
      <formula>13</formula>
    </cfRule>
    <cfRule type="cellIs" dxfId="8844" priority="1622" stopIfTrue="1" operator="between">
      <formula>0</formula>
      <formula>5</formula>
    </cfRule>
    <cfRule type="containsBlanks" dxfId="8843" priority="1623" stopIfTrue="1">
      <formula>LEN(TRIM(L203))=0</formula>
    </cfRule>
  </conditionalFormatting>
  <conditionalFormatting sqref="J203">
    <cfRule type="containsBlanks" dxfId="8842" priority="1610" stopIfTrue="1">
      <formula>LEN(TRIM(J203))=0</formula>
    </cfRule>
    <cfRule type="cellIs" dxfId="8841" priority="1611" stopIfTrue="1" operator="between">
      <formula>79.1</formula>
      <formula>100</formula>
    </cfRule>
    <cfRule type="cellIs" dxfId="8840" priority="1612" stopIfTrue="1" operator="between">
      <formula>34.1</formula>
      <formula>79</formula>
    </cfRule>
    <cfRule type="cellIs" dxfId="8839" priority="1613" stopIfTrue="1" operator="between">
      <formula>13.1</formula>
      <formula>34</formula>
    </cfRule>
    <cfRule type="cellIs" dxfId="8838" priority="1614" stopIfTrue="1" operator="between">
      <formula>5.1</formula>
      <formula>13</formula>
    </cfRule>
    <cfRule type="cellIs" dxfId="8837" priority="1615" stopIfTrue="1" operator="between">
      <formula>0</formula>
      <formula>5</formula>
    </cfRule>
    <cfRule type="containsBlanks" dxfId="8836" priority="1616" stopIfTrue="1">
      <formula>LEN(TRIM(J203))=0</formula>
    </cfRule>
  </conditionalFormatting>
  <conditionalFormatting sqref="H203">
    <cfRule type="containsBlanks" dxfId="8835" priority="1603" stopIfTrue="1">
      <formula>LEN(TRIM(H203))=0</formula>
    </cfRule>
    <cfRule type="cellIs" dxfId="8834" priority="1604" stopIfTrue="1" operator="between">
      <formula>79.1</formula>
      <formula>100</formula>
    </cfRule>
    <cfRule type="cellIs" dxfId="8833" priority="1605" stopIfTrue="1" operator="between">
      <formula>34.1</formula>
      <formula>79</formula>
    </cfRule>
    <cfRule type="cellIs" dxfId="8832" priority="1606" stopIfTrue="1" operator="between">
      <formula>13.1</formula>
      <formula>34</formula>
    </cfRule>
    <cfRule type="cellIs" dxfId="8831" priority="1607" stopIfTrue="1" operator="between">
      <formula>5.1</formula>
      <formula>13</formula>
    </cfRule>
    <cfRule type="cellIs" dxfId="8830" priority="1608" stopIfTrue="1" operator="between">
      <formula>0</formula>
      <formula>5</formula>
    </cfRule>
    <cfRule type="containsBlanks" dxfId="8829" priority="1609" stopIfTrue="1">
      <formula>LEN(TRIM(H203))=0</formula>
    </cfRule>
  </conditionalFormatting>
  <conditionalFormatting sqref="F203">
    <cfRule type="containsBlanks" dxfId="8828" priority="1596" stopIfTrue="1">
      <formula>LEN(TRIM(F203))=0</formula>
    </cfRule>
    <cfRule type="cellIs" dxfId="8827" priority="1597" stopIfTrue="1" operator="between">
      <formula>79.1</formula>
      <formula>100</formula>
    </cfRule>
    <cfRule type="cellIs" dxfId="8826" priority="1598" stopIfTrue="1" operator="between">
      <formula>34.1</formula>
      <formula>79</formula>
    </cfRule>
    <cfRule type="cellIs" dxfId="8825" priority="1599" stopIfTrue="1" operator="between">
      <formula>13.1</formula>
      <formula>34</formula>
    </cfRule>
    <cfRule type="cellIs" dxfId="8824" priority="1600" stopIfTrue="1" operator="between">
      <formula>5.1</formula>
      <formula>13</formula>
    </cfRule>
    <cfRule type="cellIs" dxfId="8823" priority="1601" stopIfTrue="1" operator="between">
      <formula>0</formula>
      <formula>5</formula>
    </cfRule>
    <cfRule type="containsBlanks" dxfId="8822" priority="1602" stopIfTrue="1">
      <formula>LEN(TRIM(F203))=0</formula>
    </cfRule>
  </conditionalFormatting>
  <conditionalFormatting sqref="N203">
    <cfRule type="containsBlanks" dxfId="8821" priority="1589" stopIfTrue="1">
      <formula>LEN(TRIM(N203))=0</formula>
    </cfRule>
    <cfRule type="cellIs" dxfId="8820" priority="1590" stopIfTrue="1" operator="between">
      <formula>79.1</formula>
      <formula>100</formula>
    </cfRule>
    <cfRule type="cellIs" dxfId="8819" priority="1591" stopIfTrue="1" operator="between">
      <formula>34.1</formula>
      <formula>79</formula>
    </cfRule>
    <cfRule type="cellIs" dxfId="8818" priority="1592" stopIfTrue="1" operator="between">
      <formula>13.1</formula>
      <formula>34</formula>
    </cfRule>
    <cfRule type="cellIs" dxfId="8817" priority="1593" stopIfTrue="1" operator="between">
      <formula>5.1</formula>
      <formula>13</formula>
    </cfRule>
    <cfRule type="cellIs" dxfId="8816" priority="1594" stopIfTrue="1" operator="between">
      <formula>0</formula>
      <formula>5</formula>
    </cfRule>
    <cfRule type="containsBlanks" dxfId="8815" priority="1595" stopIfTrue="1">
      <formula>LEN(TRIM(N203))=0</formula>
    </cfRule>
  </conditionalFormatting>
  <conditionalFormatting sqref="E202:K202 M202 O202:P202">
    <cfRule type="containsBlanks" dxfId="8814" priority="1582" stopIfTrue="1">
      <formula>LEN(TRIM(E202))=0</formula>
    </cfRule>
    <cfRule type="cellIs" dxfId="8813" priority="1583" stopIfTrue="1" operator="between">
      <formula>80.1</formula>
      <formula>100</formula>
    </cfRule>
    <cfRule type="cellIs" dxfId="8812" priority="1584" stopIfTrue="1" operator="between">
      <formula>35.1</formula>
      <formula>80</formula>
    </cfRule>
    <cfRule type="cellIs" dxfId="8811" priority="1585" stopIfTrue="1" operator="between">
      <formula>14.1</formula>
      <formula>35</formula>
    </cfRule>
    <cfRule type="cellIs" dxfId="8810" priority="1586" stopIfTrue="1" operator="between">
      <formula>5.1</formula>
      <formula>14</formula>
    </cfRule>
    <cfRule type="cellIs" dxfId="8809" priority="1587" stopIfTrue="1" operator="between">
      <formula>0</formula>
      <formula>5</formula>
    </cfRule>
    <cfRule type="containsBlanks" dxfId="8808" priority="1588" stopIfTrue="1">
      <formula>LEN(TRIM(E202))=0</formula>
    </cfRule>
  </conditionalFormatting>
  <conditionalFormatting sqref="N202">
    <cfRule type="containsBlanks" dxfId="8807" priority="1575" stopIfTrue="1">
      <formula>LEN(TRIM(N202))=0</formula>
    </cfRule>
    <cfRule type="cellIs" dxfId="8806" priority="1576" stopIfTrue="1" operator="between">
      <formula>79.1</formula>
      <formula>100</formula>
    </cfRule>
    <cfRule type="cellIs" dxfId="8805" priority="1577" stopIfTrue="1" operator="between">
      <formula>34.1</formula>
      <formula>79</formula>
    </cfRule>
    <cfRule type="cellIs" dxfId="8804" priority="1578" stopIfTrue="1" operator="between">
      <formula>13.1</formula>
      <formula>34</formula>
    </cfRule>
    <cfRule type="cellIs" dxfId="8803" priority="1579" stopIfTrue="1" operator="between">
      <formula>5.1</formula>
      <formula>13</formula>
    </cfRule>
    <cfRule type="cellIs" dxfId="8802" priority="1580" stopIfTrue="1" operator="between">
      <formula>0</formula>
      <formula>5</formula>
    </cfRule>
    <cfRule type="containsBlanks" dxfId="8801" priority="1581" stopIfTrue="1">
      <formula>LEN(TRIM(N202))=0</formula>
    </cfRule>
  </conditionalFormatting>
  <conditionalFormatting sqref="L202">
    <cfRule type="containsBlanks" dxfId="8800" priority="1568" stopIfTrue="1">
      <formula>LEN(TRIM(L202))=0</formula>
    </cfRule>
    <cfRule type="cellIs" dxfId="8799" priority="1569" stopIfTrue="1" operator="between">
      <formula>79.1</formula>
      <formula>100</formula>
    </cfRule>
    <cfRule type="cellIs" dxfId="8798" priority="1570" stopIfTrue="1" operator="between">
      <formula>34.1</formula>
      <formula>79</formula>
    </cfRule>
    <cfRule type="cellIs" dxfId="8797" priority="1571" stopIfTrue="1" operator="between">
      <formula>13.1</formula>
      <formula>34</formula>
    </cfRule>
    <cfRule type="cellIs" dxfId="8796" priority="1572" stopIfTrue="1" operator="between">
      <formula>5.1</formula>
      <formula>13</formula>
    </cfRule>
    <cfRule type="cellIs" dxfId="8795" priority="1573" stopIfTrue="1" operator="between">
      <formula>0</formula>
      <formula>5</formula>
    </cfRule>
    <cfRule type="containsBlanks" dxfId="8794" priority="1574" stopIfTrue="1">
      <formula>LEN(TRIM(L202))=0</formula>
    </cfRule>
  </conditionalFormatting>
  <conditionalFormatting sqref="E199:H199 J199:L199 N199 P199">
    <cfRule type="containsBlanks" dxfId="8793" priority="1561" stopIfTrue="1">
      <formula>LEN(TRIM(E199))=0</formula>
    </cfRule>
    <cfRule type="cellIs" dxfId="8792" priority="1562" stopIfTrue="1" operator="between">
      <formula>80.1</formula>
      <formula>100</formula>
    </cfRule>
    <cfRule type="cellIs" dxfId="8791" priority="1563" stopIfTrue="1" operator="between">
      <formula>35.1</formula>
      <formula>80</formula>
    </cfRule>
    <cfRule type="cellIs" dxfId="8790" priority="1564" stopIfTrue="1" operator="between">
      <formula>14.1</formula>
      <formula>35</formula>
    </cfRule>
    <cfRule type="cellIs" dxfId="8789" priority="1565" stopIfTrue="1" operator="between">
      <formula>5.1</formula>
      <formula>14</formula>
    </cfRule>
    <cfRule type="cellIs" dxfId="8788" priority="1566" stopIfTrue="1" operator="between">
      <formula>0</formula>
      <formula>5</formula>
    </cfRule>
    <cfRule type="containsBlanks" dxfId="8787" priority="1567" stopIfTrue="1">
      <formula>LEN(TRIM(E199))=0</formula>
    </cfRule>
  </conditionalFormatting>
  <conditionalFormatting sqref="M199">
    <cfRule type="containsBlanks" dxfId="8786" priority="1554" stopIfTrue="1">
      <formula>LEN(TRIM(M199))=0</formula>
    </cfRule>
    <cfRule type="cellIs" dxfId="8785" priority="1555" stopIfTrue="1" operator="between">
      <formula>79.1</formula>
      <formula>100</formula>
    </cfRule>
    <cfRule type="cellIs" dxfId="8784" priority="1556" stopIfTrue="1" operator="between">
      <formula>34.1</formula>
      <formula>79</formula>
    </cfRule>
    <cfRule type="cellIs" dxfId="8783" priority="1557" stopIfTrue="1" operator="between">
      <formula>13.1</formula>
      <formula>34</formula>
    </cfRule>
    <cfRule type="cellIs" dxfId="8782" priority="1558" stopIfTrue="1" operator="between">
      <formula>5.1</formula>
      <formula>13</formula>
    </cfRule>
    <cfRule type="cellIs" dxfId="8781" priority="1559" stopIfTrue="1" operator="between">
      <formula>0</formula>
      <formula>5</formula>
    </cfRule>
    <cfRule type="containsBlanks" dxfId="8780" priority="1560" stopIfTrue="1">
      <formula>LEN(TRIM(M199))=0</formula>
    </cfRule>
  </conditionalFormatting>
  <conditionalFormatting sqref="I199">
    <cfRule type="containsBlanks" dxfId="8779" priority="1547" stopIfTrue="1">
      <formula>LEN(TRIM(I199))=0</formula>
    </cfRule>
    <cfRule type="cellIs" dxfId="8778" priority="1548" stopIfTrue="1" operator="between">
      <formula>79.1</formula>
      <formula>100</formula>
    </cfRule>
    <cfRule type="cellIs" dxfId="8777" priority="1549" stopIfTrue="1" operator="between">
      <formula>34.1</formula>
      <formula>79</formula>
    </cfRule>
    <cfRule type="cellIs" dxfId="8776" priority="1550" stopIfTrue="1" operator="between">
      <formula>13.1</formula>
      <formula>34</formula>
    </cfRule>
    <cfRule type="cellIs" dxfId="8775" priority="1551" stopIfTrue="1" operator="between">
      <formula>5.1</formula>
      <formula>13</formula>
    </cfRule>
    <cfRule type="cellIs" dxfId="8774" priority="1552" stopIfTrue="1" operator="between">
      <formula>0</formula>
      <formula>5</formula>
    </cfRule>
    <cfRule type="containsBlanks" dxfId="8773" priority="1553" stopIfTrue="1">
      <formula>LEN(TRIM(I199))=0</formula>
    </cfRule>
  </conditionalFormatting>
  <conditionalFormatting sqref="O199">
    <cfRule type="containsBlanks" dxfId="8772" priority="1540" stopIfTrue="1">
      <formula>LEN(TRIM(O199))=0</formula>
    </cfRule>
    <cfRule type="cellIs" dxfId="8771" priority="1541" stopIfTrue="1" operator="between">
      <formula>79.1</formula>
      <formula>100</formula>
    </cfRule>
    <cfRule type="cellIs" dxfId="8770" priority="1542" stopIfTrue="1" operator="between">
      <formula>34.1</formula>
      <formula>79</formula>
    </cfRule>
    <cfRule type="cellIs" dxfId="8769" priority="1543" stopIfTrue="1" operator="between">
      <formula>13.1</formula>
      <formula>34</formula>
    </cfRule>
    <cfRule type="cellIs" dxfId="8768" priority="1544" stopIfTrue="1" operator="between">
      <formula>5.1</formula>
      <formula>13</formula>
    </cfRule>
    <cfRule type="cellIs" dxfId="8767" priority="1545" stopIfTrue="1" operator="between">
      <formula>0</formula>
      <formula>5</formula>
    </cfRule>
    <cfRule type="containsBlanks" dxfId="8766" priority="1546" stopIfTrue="1">
      <formula>LEN(TRIM(O199))=0</formula>
    </cfRule>
  </conditionalFormatting>
  <conditionalFormatting sqref="E253:P253">
    <cfRule type="containsBlanks" dxfId="8765" priority="1197" stopIfTrue="1">
      <formula>LEN(TRIM(E253))=0</formula>
    </cfRule>
    <cfRule type="cellIs" dxfId="8764" priority="1198" stopIfTrue="1" operator="between">
      <formula>80.1</formula>
      <formula>100</formula>
    </cfRule>
    <cfRule type="cellIs" dxfId="8763" priority="1199" stopIfTrue="1" operator="between">
      <formula>35.1</formula>
      <formula>80</formula>
    </cfRule>
    <cfRule type="cellIs" dxfId="8762" priority="1200" stopIfTrue="1" operator="between">
      <formula>14.1</formula>
      <formula>35</formula>
    </cfRule>
    <cfRule type="cellIs" dxfId="8761" priority="1201" stopIfTrue="1" operator="between">
      <formula>5.1</formula>
      <formula>14</formula>
    </cfRule>
    <cfRule type="cellIs" dxfId="8760" priority="1202" stopIfTrue="1" operator="between">
      <formula>0</formula>
      <formula>5</formula>
    </cfRule>
    <cfRule type="containsBlanks" dxfId="8759" priority="1203" stopIfTrue="1">
      <formula>LEN(TRIM(E253))=0</formula>
    </cfRule>
  </conditionalFormatting>
  <conditionalFormatting sqref="H358">
    <cfRule type="containsBlanks" dxfId="8758" priority="597" stopIfTrue="1">
      <formula>LEN(TRIM(H358))=0</formula>
    </cfRule>
    <cfRule type="cellIs" dxfId="8757" priority="598" stopIfTrue="1" operator="between">
      <formula>79.1</formula>
      <formula>100</formula>
    </cfRule>
    <cfRule type="cellIs" dxfId="8756" priority="599" stopIfTrue="1" operator="between">
      <formula>34.1</formula>
      <formula>79</formula>
    </cfRule>
    <cfRule type="cellIs" dxfId="8755" priority="600" stopIfTrue="1" operator="between">
      <formula>13.1</formula>
      <formula>34</formula>
    </cfRule>
    <cfRule type="cellIs" dxfId="8754" priority="601" stopIfTrue="1" operator="between">
      <formula>5.1</formula>
      <formula>13</formula>
    </cfRule>
    <cfRule type="cellIs" dxfId="8753" priority="602" stopIfTrue="1" operator="between">
      <formula>0</formula>
      <formula>5</formula>
    </cfRule>
    <cfRule type="containsBlanks" dxfId="8752" priority="603" stopIfTrue="1">
      <formula>LEN(TRIM(H358))=0</formula>
    </cfRule>
  </conditionalFormatting>
  <conditionalFormatting sqref="J369">
    <cfRule type="containsBlanks" dxfId="8751" priority="583" stopIfTrue="1">
      <formula>LEN(TRIM(J369))=0</formula>
    </cfRule>
    <cfRule type="cellIs" dxfId="8750" priority="584" stopIfTrue="1" operator="between">
      <formula>79.1</formula>
      <formula>100</formula>
    </cfRule>
    <cfRule type="cellIs" dxfId="8749" priority="585" stopIfTrue="1" operator="between">
      <formula>34.1</formula>
      <formula>79</formula>
    </cfRule>
    <cfRule type="cellIs" dxfId="8748" priority="586" stopIfTrue="1" operator="between">
      <formula>13.1</formula>
      <formula>34</formula>
    </cfRule>
    <cfRule type="cellIs" dxfId="8747" priority="587" stopIfTrue="1" operator="between">
      <formula>5.1</formula>
      <formula>13</formula>
    </cfRule>
    <cfRule type="cellIs" dxfId="8746" priority="588" stopIfTrue="1" operator="between">
      <formula>0</formula>
      <formula>5</formula>
    </cfRule>
    <cfRule type="containsBlanks" dxfId="8745" priority="589" stopIfTrue="1">
      <formula>LEN(TRIM(J369))=0</formula>
    </cfRule>
  </conditionalFormatting>
  <conditionalFormatting sqref="E201 G201:L201 N201 P201">
    <cfRule type="containsBlanks" dxfId="8744" priority="1505" stopIfTrue="1">
      <formula>LEN(TRIM(E201))=0</formula>
    </cfRule>
    <cfRule type="cellIs" dxfId="8743" priority="1506" stopIfTrue="1" operator="between">
      <formula>80.1</formula>
      <formula>100</formula>
    </cfRule>
    <cfRule type="cellIs" dxfId="8742" priority="1507" stopIfTrue="1" operator="between">
      <formula>35.1</formula>
      <formula>80</formula>
    </cfRule>
    <cfRule type="cellIs" dxfId="8741" priority="1508" stopIfTrue="1" operator="between">
      <formula>14.1</formula>
      <formula>35</formula>
    </cfRule>
    <cfRule type="cellIs" dxfId="8740" priority="1509" stopIfTrue="1" operator="between">
      <formula>5.1</formula>
      <formula>14</formula>
    </cfRule>
    <cfRule type="cellIs" dxfId="8739" priority="1510" stopIfTrue="1" operator="between">
      <formula>0</formula>
      <formula>5</formula>
    </cfRule>
    <cfRule type="containsBlanks" dxfId="8738" priority="1511" stopIfTrue="1">
      <formula>LEN(TRIM(E201))=0</formula>
    </cfRule>
  </conditionalFormatting>
  <conditionalFormatting sqref="M201">
    <cfRule type="containsBlanks" dxfId="8737" priority="1498" stopIfTrue="1">
      <formula>LEN(TRIM(M201))=0</formula>
    </cfRule>
    <cfRule type="cellIs" dxfId="8736" priority="1499" stopIfTrue="1" operator="between">
      <formula>79.1</formula>
      <formula>100</formula>
    </cfRule>
    <cfRule type="cellIs" dxfId="8735" priority="1500" stopIfTrue="1" operator="between">
      <formula>34.1</formula>
      <formula>79</formula>
    </cfRule>
    <cfRule type="cellIs" dxfId="8734" priority="1501" stopIfTrue="1" operator="between">
      <formula>13.1</formula>
      <formula>34</formula>
    </cfRule>
    <cfRule type="cellIs" dxfId="8733" priority="1502" stopIfTrue="1" operator="between">
      <formula>5.1</formula>
      <formula>13</formula>
    </cfRule>
    <cfRule type="cellIs" dxfId="8732" priority="1503" stopIfTrue="1" operator="between">
      <formula>0</formula>
      <formula>5</formula>
    </cfRule>
    <cfRule type="containsBlanks" dxfId="8731" priority="1504" stopIfTrue="1">
      <formula>LEN(TRIM(M201))=0</formula>
    </cfRule>
  </conditionalFormatting>
  <conditionalFormatting sqref="F201">
    <cfRule type="containsBlanks" dxfId="8730" priority="1491" stopIfTrue="1">
      <formula>LEN(TRIM(F201))=0</formula>
    </cfRule>
    <cfRule type="cellIs" dxfId="8729" priority="1492" stopIfTrue="1" operator="between">
      <formula>79.1</formula>
      <formula>100</formula>
    </cfRule>
    <cfRule type="cellIs" dxfId="8728" priority="1493" stopIfTrue="1" operator="between">
      <formula>34.1</formula>
      <formula>79</formula>
    </cfRule>
    <cfRule type="cellIs" dxfId="8727" priority="1494" stopIfTrue="1" operator="between">
      <formula>13.1</formula>
      <formula>34</formula>
    </cfRule>
    <cfRule type="cellIs" dxfId="8726" priority="1495" stopIfTrue="1" operator="between">
      <formula>5.1</formula>
      <formula>13</formula>
    </cfRule>
    <cfRule type="cellIs" dxfId="8725" priority="1496" stopIfTrue="1" operator="between">
      <formula>0</formula>
      <formula>5</formula>
    </cfRule>
    <cfRule type="containsBlanks" dxfId="8724" priority="1497" stopIfTrue="1">
      <formula>LEN(TRIM(F201))=0</formula>
    </cfRule>
  </conditionalFormatting>
  <conditionalFormatting sqref="O201">
    <cfRule type="containsBlanks" dxfId="8723" priority="1484" stopIfTrue="1">
      <formula>LEN(TRIM(O201))=0</formula>
    </cfRule>
    <cfRule type="cellIs" dxfId="8722" priority="1485" stopIfTrue="1" operator="between">
      <formula>79.1</formula>
      <formula>100</formula>
    </cfRule>
    <cfRule type="cellIs" dxfId="8721" priority="1486" stopIfTrue="1" operator="between">
      <formula>34.1</formula>
      <formula>79</formula>
    </cfRule>
    <cfRule type="cellIs" dxfId="8720" priority="1487" stopIfTrue="1" operator="between">
      <formula>13.1</formula>
      <formula>34</formula>
    </cfRule>
    <cfRule type="cellIs" dxfId="8719" priority="1488" stopIfTrue="1" operator="between">
      <formula>5.1</formula>
      <formula>13</formula>
    </cfRule>
    <cfRule type="cellIs" dxfId="8718" priority="1489" stopIfTrue="1" operator="between">
      <formula>0</formula>
      <formula>5</formula>
    </cfRule>
    <cfRule type="containsBlanks" dxfId="8717" priority="1490" stopIfTrue="1">
      <formula>LEN(TRIM(O201))=0</formula>
    </cfRule>
  </conditionalFormatting>
  <conditionalFormatting sqref="E205:H205 J205 L205:M205 O205:P205">
    <cfRule type="containsBlanks" dxfId="8716" priority="1477" stopIfTrue="1">
      <formula>LEN(TRIM(E205))=0</formula>
    </cfRule>
    <cfRule type="cellIs" dxfId="8715" priority="1478" stopIfTrue="1" operator="between">
      <formula>80.1</formula>
      <formula>100</formula>
    </cfRule>
    <cfRule type="cellIs" dxfId="8714" priority="1479" stopIfTrue="1" operator="between">
      <formula>35.1</formula>
      <formula>80</formula>
    </cfRule>
    <cfRule type="cellIs" dxfId="8713" priority="1480" stopIfTrue="1" operator="between">
      <formula>14.1</formula>
      <formula>35</formula>
    </cfRule>
    <cfRule type="cellIs" dxfId="8712" priority="1481" stopIfTrue="1" operator="between">
      <formula>5.1</formula>
      <formula>14</formula>
    </cfRule>
    <cfRule type="cellIs" dxfId="8711" priority="1482" stopIfTrue="1" operator="between">
      <formula>0</formula>
      <formula>5</formula>
    </cfRule>
    <cfRule type="containsBlanks" dxfId="8710" priority="1483" stopIfTrue="1">
      <formula>LEN(TRIM(E205))=0</formula>
    </cfRule>
  </conditionalFormatting>
  <conditionalFormatting sqref="I205">
    <cfRule type="containsBlanks" dxfId="8709" priority="1470" stopIfTrue="1">
      <formula>LEN(TRIM(I205))=0</formula>
    </cfRule>
    <cfRule type="cellIs" dxfId="8708" priority="1471" stopIfTrue="1" operator="between">
      <formula>79.1</formula>
      <formula>100</formula>
    </cfRule>
    <cfRule type="cellIs" dxfId="8707" priority="1472" stopIfTrue="1" operator="between">
      <formula>34.1</formula>
      <formula>79</formula>
    </cfRule>
    <cfRule type="cellIs" dxfId="8706" priority="1473" stopIfTrue="1" operator="between">
      <formula>13.1</formula>
      <formula>34</formula>
    </cfRule>
    <cfRule type="cellIs" dxfId="8705" priority="1474" stopIfTrue="1" operator="between">
      <formula>5.1</formula>
      <formula>13</formula>
    </cfRule>
    <cfRule type="cellIs" dxfId="8704" priority="1475" stopIfTrue="1" operator="between">
      <formula>0</formula>
      <formula>5</formula>
    </cfRule>
    <cfRule type="containsBlanks" dxfId="8703" priority="1476" stopIfTrue="1">
      <formula>LEN(TRIM(I205))=0</formula>
    </cfRule>
  </conditionalFormatting>
  <conditionalFormatting sqref="K205">
    <cfRule type="containsBlanks" dxfId="8702" priority="1463" stopIfTrue="1">
      <formula>LEN(TRIM(K205))=0</formula>
    </cfRule>
    <cfRule type="cellIs" dxfId="8701" priority="1464" stopIfTrue="1" operator="between">
      <formula>79.1</formula>
      <formula>100</formula>
    </cfRule>
    <cfRule type="cellIs" dxfId="8700" priority="1465" stopIfTrue="1" operator="between">
      <formula>34.1</formula>
      <formula>79</formula>
    </cfRule>
    <cfRule type="cellIs" dxfId="8699" priority="1466" stopIfTrue="1" operator="between">
      <formula>13.1</formula>
      <formula>34</formula>
    </cfRule>
    <cfRule type="cellIs" dxfId="8698" priority="1467" stopIfTrue="1" operator="between">
      <formula>5.1</formula>
      <formula>13</formula>
    </cfRule>
    <cfRule type="cellIs" dxfId="8697" priority="1468" stopIfTrue="1" operator="between">
      <formula>0</formula>
      <formula>5</formula>
    </cfRule>
    <cfRule type="containsBlanks" dxfId="8696" priority="1469" stopIfTrue="1">
      <formula>LEN(TRIM(K205))=0</formula>
    </cfRule>
  </conditionalFormatting>
  <conditionalFormatting sqref="N205">
    <cfRule type="containsBlanks" dxfId="8695" priority="1456" stopIfTrue="1">
      <formula>LEN(TRIM(N205))=0</formula>
    </cfRule>
    <cfRule type="cellIs" dxfId="8694" priority="1457" stopIfTrue="1" operator="between">
      <formula>79.1</formula>
      <formula>100</formula>
    </cfRule>
    <cfRule type="cellIs" dxfId="8693" priority="1458" stopIfTrue="1" operator="between">
      <formula>34.1</formula>
      <formula>79</formula>
    </cfRule>
    <cfRule type="cellIs" dxfId="8692" priority="1459" stopIfTrue="1" operator="between">
      <formula>13.1</formula>
      <formula>34</formula>
    </cfRule>
    <cfRule type="cellIs" dxfId="8691" priority="1460" stopIfTrue="1" operator="between">
      <formula>5.1</formula>
      <formula>13</formula>
    </cfRule>
    <cfRule type="cellIs" dxfId="8690" priority="1461" stopIfTrue="1" operator="between">
      <formula>0</formula>
      <formula>5</formula>
    </cfRule>
    <cfRule type="containsBlanks" dxfId="8689" priority="1462" stopIfTrue="1">
      <formula>LEN(TRIM(N205))=0</formula>
    </cfRule>
  </conditionalFormatting>
  <conditionalFormatting sqref="E210 I210:P210 G210">
    <cfRule type="containsBlanks" dxfId="8688" priority="1449" stopIfTrue="1">
      <formula>LEN(TRIM(E210))=0</formula>
    </cfRule>
    <cfRule type="cellIs" dxfId="8687" priority="1450" stopIfTrue="1" operator="between">
      <formula>80.1</formula>
      <formula>100</formula>
    </cfRule>
    <cfRule type="cellIs" dxfId="8686" priority="1451" stopIfTrue="1" operator="between">
      <formula>35.1</formula>
      <formula>80</formula>
    </cfRule>
    <cfRule type="cellIs" dxfId="8685" priority="1452" stopIfTrue="1" operator="between">
      <formula>14.1</formula>
      <formula>35</formula>
    </cfRule>
    <cfRule type="cellIs" dxfId="8684" priority="1453" stopIfTrue="1" operator="between">
      <formula>5.1</formula>
      <formula>14</formula>
    </cfRule>
    <cfRule type="cellIs" dxfId="8683" priority="1454" stopIfTrue="1" operator="between">
      <formula>0</formula>
      <formula>5</formula>
    </cfRule>
    <cfRule type="containsBlanks" dxfId="8682" priority="1455" stopIfTrue="1">
      <formula>LEN(TRIM(E210))=0</formula>
    </cfRule>
  </conditionalFormatting>
  <conditionalFormatting sqref="H210">
    <cfRule type="containsBlanks" dxfId="8681" priority="1442" stopIfTrue="1">
      <formula>LEN(TRIM(H210))=0</formula>
    </cfRule>
    <cfRule type="cellIs" dxfId="8680" priority="1443" stopIfTrue="1" operator="between">
      <formula>79.1</formula>
      <formula>100</formula>
    </cfRule>
    <cfRule type="cellIs" dxfId="8679" priority="1444" stopIfTrue="1" operator="between">
      <formula>34.1</formula>
      <formula>79</formula>
    </cfRule>
    <cfRule type="cellIs" dxfId="8678" priority="1445" stopIfTrue="1" operator="between">
      <formula>13.1</formula>
      <formula>34</formula>
    </cfRule>
    <cfRule type="cellIs" dxfId="8677" priority="1446" stopIfTrue="1" operator="between">
      <formula>5.1</formula>
      <formula>13</formula>
    </cfRule>
    <cfRule type="cellIs" dxfId="8676" priority="1447" stopIfTrue="1" operator="between">
      <formula>0</formula>
      <formula>5</formula>
    </cfRule>
    <cfRule type="containsBlanks" dxfId="8675" priority="1448" stopIfTrue="1">
      <formula>LEN(TRIM(H210))=0</formula>
    </cfRule>
  </conditionalFormatting>
  <conditionalFormatting sqref="F210">
    <cfRule type="containsBlanks" dxfId="8674" priority="1435" stopIfTrue="1">
      <formula>LEN(TRIM(F210))=0</formula>
    </cfRule>
    <cfRule type="cellIs" dxfId="8673" priority="1436" stopIfTrue="1" operator="between">
      <formula>79.1</formula>
      <formula>100</formula>
    </cfRule>
    <cfRule type="cellIs" dxfId="8672" priority="1437" stopIfTrue="1" operator="between">
      <formula>34.1</formula>
      <formula>79</formula>
    </cfRule>
    <cfRule type="cellIs" dxfId="8671" priority="1438" stopIfTrue="1" operator="between">
      <formula>13.1</formula>
      <formula>34</formula>
    </cfRule>
    <cfRule type="cellIs" dxfId="8670" priority="1439" stopIfTrue="1" operator="between">
      <formula>5.1</formula>
      <formula>13</formula>
    </cfRule>
    <cfRule type="cellIs" dxfId="8669" priority="1440" stopIfTrue="1" operator="between">
      <formula>0</formula>
      <formula>5</formula>
    </cfRule>
    <cfRule type="containsBlanks" dxfId="8668" priority="1441" stopIfTrue="1">
      <formula>LEN(TRIM(F210))=0</formula>
    </cfRule>
  </conditionalFormatting>
  <conditionalFormatting sqref="E208:F208 K208 I208 M208:P208">
    <cfRule type="containsBlanks" dxfId="8667" priority="1428" stopIfTrue="1">
      <formula>LEN(TRIM(E208))=0</formula>
    </cfRule>
    <cfRule type="cellIs" dxfId="8666" priority="1429" stopIfTrue="1" operator="between">
      <formula>80.1</formula>
      <formula>100</formula>
    </cfRule>
    <cfRule type="cellIs" dxfId="8665" priority="1430" stopIfTrue="1" operator="between">
      <formula>35.1</formula>
      <formula>80</formula>
    </cfRule>
    <cfRule type="cellIs" dxfId="8664" priority="1431" stopIfTrue="1" operator="between">
      <formula>14.1</formula>
      <formula>35</formula>
    </cfRule>
    <cfRule type="cellIs" dxfId="8663" priority="1432" stopIfTrue="1" operator="between">
      <formula>5.1</formula>
      <formula>14</formula>
    </cfRule>
    <cfRule type="cellIs" dxfId="8662" priority="1433" stopIfTrue="1" operator="between">
      <formula>0</formula>
      <formula>5</formula>
    </cfRule>
    <cfRule type="containsBlanks" dxfId="8661" priority="1434" stopIfTrue="1">
      <formula>LEN(TRIM(E208))=0</formula>
    </cfRule>
  </conditionalFormatting>
  <conditionalFormatting sqref="H208">
    <cfRule type="containsBlanks" dxfId="8660" priority="1421" stopIfTrue="1">
      <formula>LEN(TRIM(H208))=0</formula>
    </cfRule>
    <cfRule type="cellIs" dxfId="8659" priority="1422" stopIfTrue="1" operator="between">
      <formula>79.1</formula>
      <formula>100</formula>
    </cfRule>
    <cfRule type="cellIs" dxfId="8658" priority="1423" stopIfTrue="1" operator="between">
      <formula>34.1</formula>
      <formula>79</formula>
    </cfRule>
    <cfRule type="cellIs" dxfId="8657" priority="1424" stopIfTrue="1" operator="between">
      <formula>13.1</formula>
      <formula>34</formula>
    </cfRule>
    <cfRule type="cellIs" dxfId="8656" priority="1425" stopIfTrue="1" operator="between">
      <formula>5.1</formula>
      <formula>13</formula>
    </cfRule>
    <cfRule type="cellIs" dxfId="8655" priority="1426" stopIfTrue="1" operator="between">
      <formula>0</formula>
      <formula>5</formula>
    </cfRule>
    <cfRule type="containsBlanks" dxfId="8654" priority="1427" stopIfTrue="1">
      <formula>LEN(TRIM(H208))=0</formula>
    </cfRule>
  </conditionalFormatting>
  <conditionalFormatting sqref="G208">
    <cfRule type="containsBlanks" dxfId="8653" priority="1414" stopIfTrue="1">
      <formula>LEN(TRIM(G208))=0</formula>
    </cfRule>
    <cfRule type="cellIs" dxfId="8652" priority="1415" stopIfTrue="1" operator="between">
      <formula>79.1</formula>
      <formula>100</formula>
    </cfRule>
    <cfRule type="cellIs" dxfId="8651" priority="1416" stopIfTrue="1" operator="between">
      <formula>34.1</formula>
      <formula>79</formula>
    </cfRule>
    <cfRule type="cellIs" dxfId="8650" priority="1417" stopIfTrue="1" operator="between">
      <formula>13.1</formula>
      <formula>34</formula>
    </cfRule>
    <cfRule type="cellIs" dxfId="8649" priority="1418" stopIfTrue="1" operator="between">
      <formula>5.1</formula>
      <formula>13</formula>
    </cfRule>
    <cfRule type="cellIs" dxfId="8648" priority="1419" stopIfTrue="1" operator="between">
      <formula>0</formula>
      <formula>5</formula>
    </cfRule>
    <cfRule type="containsBlanks" dxfId="8647" priority="1420" stopIfTrue="1">
      <formula>LEN(TRIM(G208))=0</formula>
    </cfRule>
  </conditionalFormatting>
  <conditionalFormatting sqref="L208">
    <cfRule type="containsBlanks" dxfId="8646" priority="1407" stopIfTrue="1">
      <formula>LEN(TRIM(L208))=0</formula>
    </cfRule>
    <cfRule type="cellIs" dxfId="8645" priority="1408" stopIfTrue="1" operator="between">
      <formula>79.1</formula>
      <formula>100</formula>
    </cfRule>
    <cfRule type="cellIs" dxfId="8644" priority="1409" stopIfTrue="1" operator="between">
      <formula>34.1</formula>
      <formula>79</formula>
    </cfRule>
    <cfRule type="cellIs" dxfId="8643" priority="1410" stopIfTrue="1" operator="between">
      <formula>13.1</formula>
      <formula>34</formula>
    </cfRule>
    <cfRule type="cellIs" dxfId="8642" priority="1411" stopIfTrue="1" operator="between">
      <formula>5.1</formula>
      <formula>13</formula>
    </cfRule>
    <cfRule type="cellIs" dxfId="8641" priority="1412" stopIfTrue="1" operator="between">
      <formula>0</formula>
      <formula>5</formula>
    </cfRule>
    <cfRule type="containsBlanks" dxfId="8640" priority="1413" stopIfTrue="1">
      <formula>LEN(TRIM(L208))=0</formula>
    </cfRule>
  </conditionalFormatting>
  <conditionalFormatting sqref="E209 H209:K209 M209:P209">
    <cfRule type="containsBlanks" dxfId="8639" priority="1400" stopIfTrue="1">
      <formula>LEN(TRIM(E209))=0</formula>
    </cfRule>
    <cfRule type="cellIs" dxfId="8638" priority="1401" stopIfTrue="1" operator="between">
      <formula>80.1</formula>
      <formula>100</formula>
    </cfRule>
    <cfRule type="cellIs" dxfId="8637" priority="1402" stopIfTrue="1" operator="between">
      <formula>35.1</formula>
      <formula>80</formula>
    </cfRule>
    <cfRule type="cellIs" dxfId="8636" priority="1403" stopIfTrue="1" operator="between">
      <formula>14.1</formula>
      <formula>35</formula>
    </cfRule>
    <cfRule type="cellIs" dxfId="8635" priority="1404" stopIfTrue="1" operator="between">
      <formula>5.1</formula>
      <formula>14</formula>
    </cfRule>
    <cfRule type="cellIs" dxfId="8634" priority="1405" stopIfTrue="1" operator="between">
      <formula>0</formula>
      <formula>5</formula>
    </cfRule>
    <cfRule type="containsBlanks" dxfId="8633" priority="1406" stopIfTrue="1">
      <formula>LEN(TRIM(E209))=0</formula>
    </cfRule>
  </conditionalFormatting>
  <conditionalFormatting sqref="F209">
    <cfRule type="containsBlanks" dxfId="8632" priority="1393" stopIfTrue="1">
      <formula>LEN(TRIM(F209))=0</formula>
    </cfRule>
    <cfRule type="cellIs" dxfId="8631" priority="1394" stopIfTrue="1" operator="between">
      <formula>79.1</formula>
      <formula>100</formula>
    </cfRule>
    <cfRule type="cellIs" dxfId="8630" priority="1395" stopIfTrue="1" operator="between">
      <formula>34.1</formula>
      <formula>79</formula>
    </cfRule>
    <cfRule type="cellIs" dxfId="8629" priority="1396" stopIfTrue="1" operator="between">
      <formula>13.1</formula>
      <formula>34</formula>
    </cfRule>
    <cfRule type="cellIs" dxfId="8628" priority="1397" stopIfTrue="1" operator="between">
      <formula>5.1</formula>
      <formula>13</formula>
    </cfRule>
    <cfRule type="cellIs" dxfId="8627" priority="1398" stopIfTrue="1" operator="between">
      <formula>0</formula>
      <formula>5</formula>
    </cfRule>
    <cfRule type="containsBlanks" dxfId="8626" priority="1399" stopIfTrue="1">
      <formula>LEN(TRIM(F209))=0</formula>
    </cfRule>
  </conditionalFormatting>
  <conditionalFormatting sqref="G209">
    <cfRule type="containsBlanks" dxfId="8625" priority="1386" stopIfTrue="1">
      <formula>LEN(TRIM(G209))=0</formula>
    </cfRule>
    <cfRule type="cellIs" dxfId="8624" priority="1387" stopIfTrue="1" operator="between">
      <formula>79.1</formula>
      <formula>100</formula>
    </cfRule>
    <cfRule type="cellIs" dxfId="8623" priority="1388" stopIfTrue="1" operator="between">
      <formula>34.1</formula>
      <formula>79</formula>
    </cfRule>
    <cfRule type="cellIs" dxfId="8622" priority="1389" stopIfTrue="1" operator="between">
      <formula>13.1</formula>
      <formula>34</formula>
    </cfRule>
    <cfRule type="cellIs" dxfId="8621" priority="1390" stopIfTrue="1" operator="between">
      <formula>5.1</formula>
      <formula>13</formula>
    </cfRule>
    <cfRule type="cellIs" dxfId="8620" priority="1391" stopIfTrue="1" operator="between">
      <formula>0</formula>
      <formula>5</formula>
    </cfRule>
    <cfRule type="containsBlanks" dxfId="8619" priority="1392" stopIfTrue="1">
      <formula>LEN(TRIM(G209))=0</formula>
    </cfRule>
  </conditionalFormatting>
  <conditionalFormatting sqref="L209">
    <cfRule type="containsBlanks" dxfId="8618" priority="1379" stopIfTrue="1">
      <formula>LEN(TRIM(L209))=0</formula>
    </cfRule>
    <cfRule type="cellIs" dxfId="8617" priority="1380" stopIfTrue="1" operator="between">
      <formula>79.1</formula>
      <formula>100</formula>
    </cfRule>
    <cfRule type="cellIs" dxfId="8616" priority="1381" stopIfTrue="1" operator="between">
      <formula>34.1</formula>
      <formula>79</formula>
    </cfRule>
    <cfRule type="cellIs" dxfId="8615" priority="1382" stopIfTrue="1" operator="between">
      <formula>13.1</formula>
      <formula>34</formula>
    </cfRule>
    <cfRule type="cellIs" dxfId="8614" priority="1383" stopIfTrue="1" operator="between">
      <formula>5.1</formula>
      <formula>13</formula>
    </cfRule>
    <cfRule type="cellIs" dxfId="8613" priority="1384" stopIfTrue="1" operator="between">
      <formula>0</formula>
      <formula>5</formula>
    </cfRule>
    <cfRule type="containsBlanks" dxfId="8612" priority="1385" stopIfTrue="1">
      <formula>LEN(TRIM(L209))=0</formula>
    </cfRule>
  </conditionalFormatting>
  <conditionalFormatting sqref="E200:F200 H200 J200:P200">
    <cfRule type="containsBlanks" dxfId="8611" priority="1372" stopIfTrue="1">
      <formula>LEN(TRIM(E200))=0</formula>
    </cfRule>
    <cfRule type="cellIs" dxfId="8610" priority="1373" stopIfTrue="1" operator="between">
      <formula>80.1</formula>
      <formula>100</formula>
    </cfRule>
    <cfRule type="cellIs" dxfId="8609" priority="1374" stopIfTrue="1" operator="between">
      <formula>35.1</formula>
      <formula>80</formula>
    </cfRule>
    <cfRule type="cellIs" dxfId="8608" priority="1375" stopIfTrue="1" operator="between">
      <formula>14.1</formula>
      <formula>35</formula>
    </cfRule>
    <cfRule type="cellIs" dxfId="8607" priority="1376" stopIfTrue="1" operator="between">
      <formula>5.1</formula>
      <formula>14</formula>
    </cfRule>
    <cfRule type="cellIs" dxfId="8606" priority="1377" stopIfTrue="1" operator="between">
      <formula>0</formula>
      <formula>5</formula>
    </cfRule>
    <cfRule type="containsBlanks" dxfId="8605" priority="1378" stopIfTrue="1">
      <formula>LEN(TRIM(E200))=0</formula>
    </cfRule>
  </conditionalFormatting>
  <conditionalFormatting sqref="G200">
    <cfRule type="containsBlanks" dxfId="8604" priority="1365" stopIfTrue="1">
      <formula>LEN(TRIM(G200))=0</formula>
    </cfRule>
    <cfRule type="cellIs" dxfId="8603" priority="1366" stopIfTrue="1" operator="between">
      <formula>79.1</formula>
      <formula>100</formula>
    </cfRule>
    <cfRule type="cellIs" dxfId="8602" priority="1367" stopIfTrue="1" operator="between">
      <formula>34.1</formula>
      <formula>79</formula>
    </cfRule>
    <cfRule type="cellIs" dxfId="8601" priority="1368" stopIfTrue="1" operator="between">
      <formula>13.1</formula>
      <formula>34</formula>
    </cfRule>
    <cfRule type="cellIs" dxfId="8600" priority="1369" stopIfTrue="1" operator="between">
      <formula>5.1</formula>
      <formula>13</formula>
    </cfRule>
    <cfRule type="cellIs" dxfId="8599" priority="1370" stopIfTrue="1" operator="between">
      <formula>0</formula>
      <formula>5</formula>
    </cfRule>
    <cfRule type="containsBlanks" dxfId="8598" priority="1371" stopIfTrue="1">
      <formula>LEN(TRIM(G200))=0</formula>
    </cfRule>
  </conditionalFormatting>
  <conditionalFormatting sqref="I200">
    <cfRule type="containsBlanks" dxfId="8597" priority="1358" stopIfTrue="1">
      <formula>LEN(TRIM(I200))=0</formula>
    </cfRule>
    <cfRule type="cellIs" dxfId="8596" priority="1359" stopIfTrue="1" operator="between">
      <formula>79.1</formula>
      <formula>100</formula>
    </cfRule>
    <cfRule type="cellIs" dxfId="8595" priority="1360" stopIfTrue="1" operator="between">
      <formula>34.1</formula>
      <formula>79</formula>
    </cfRule>
    <cfRule type="cellIs" dxfId="8594" priority="1361" stopIfTrue="1" operator="between">
      <formula>13.1</formula>
      <formula>34</formula>
    </cfRule>
    <cfRule type="cellIs" dxfId="8593" priority="1362" stopIfTrue="1" operator="between">
      <formula>5.1</formula>
      <formula>13</formula>
    </cfRule>
    <cfRule type="cellIs" dxfId="8592" priority="1363" stopIfTrue="1" operator="between">
      <formula>0</formula>
      <formula>5</formula>
    </cfRule>
    <cfRule type="containsBlanks" dxfId="8591" priority="1364" stopIfTrue="1">
      <formula>LEN(TRIM(I200))=0</formula>
    </cfRule>
  </conditionalFormatting>
  <conditionalFormatting sqref="E207:H207 J207:M207 O207:P207">
    <cfRule type="containsBlanks" dxfId="8590" priority="1351" stopIfTrue="1">
      <formula>LEN(TRIM(E207))=0</formula>
    </cfRule>
    <cfRule type="cellIs" dxfId="8589" priority="1352" stopIfTrue="1" operator="between">
      <formula>80.1</formula>
      <formula>100</formula>
    </cfRule>
    <cfRule type="cellIs" dxfId="8588" priority="1353" stopIfTrue="1" operator="between">
      <formula>35.1</formula>
      <formula>80</formula>
    </cfRule>
    <cfRule type="cellIs" dxfId="8587" priority="1354" stopIfTrue="1" operator="between">
      <formula>14.1</formula>
      <formula>35</formula>
    </cfRule>
    <cfRule type="cellIs" dxfId="8586" priority="1355" stopIfTrue="1" operator="between">
      <formula>5.1</formula>
      <formula>14</formula>
    </cfRule>
    <cfRule type="cellIs" dxfId="8585" priority="1356" stopIfTrue="1" operator="between">
      <formula>0</formula>
      <formula>5</formula>
    </cfRule>
    <cfRule type="containsBlanks" dxfId="8584" priority="1357" stopIfTrue="1">
      <formula>LEN(TRIM(E207))=0</formula>
    </cfRule>
  </conditionalFormatting>
  <conditionalFormatting sqref="N207">
    <cfRule type="containsBlanks" dxfId="8583" priority="1344" stopIfTrue="1">
      <formula>LEN(TRIM(N207))=0</formula>
    </cfRule>
    <cfRule type="cellIs" dxfId="8582" priority="1345" stopIfTrue="1" operator="between">
      <formula>79.1</formula>
      <formula>100</formula>
    </cfRule>
    <cfRule type="cellIs" dxfId="8581" priority="1346" stopIfTrue="1" operator="between">
      <formula>34.1</formula>
      <formula>79</formula>
    </cfRule>
    <cfRule type="cellIs" dxfId="8580" priority="1347" stopIfTrue="1" operator="between">
      <formula>13.1</formula>
      <formula>34</formula>
    </cfRule>
    <cfRule type="cellIs" dxfId="8579" priority="1348" stopIfTrue="1" operator="between">
      <formula>5.1</formula>
      <formula>13</formula>
    </cfRule>
    <cfRule type="cellIs" dxfId="8578" priority="1349" stopIfTrue="1" operator="between">
      <formula>0</formula>
      <formula>5</formula>
    </cfRule>
    <cfRule type="containsBlanks" dxfId="8577" priority="1350" stopIfTrue="1">
      <formula>LEN(TRIM(N207))=0</formula>
    </cfRule>
  </conditionalFormatting>
  <conditionalFormatting sqref="I207">
    <cfRule type="containsBlanks" dxfId="8576" priority="1337" stopIfTrue="1">
      <formula>LEN(TRIM(I207))=0</formula>
    </cfRule>
    <cfRule type="cellIs" dxfId="8575" priority="1338" stopIfTrue="1" operator="between">
      <formula>79.1</formula>
      <formula>100</formula>
    </cfRule>
    <cfRule type="cellIs" dxfId="8574" priority="1339" stopIfTrue="1" operator="between">
      <formula>34.1</formula>
      <formula>79</formula>
    </cfRule>
    <cfRule type="cellIs" dxfId="8573" priority="1340" stopIfTrue="1" operator="between">
      <formula>13.1</formula>
      <formula>34</formula>
    </cfRule>
    <cfRule type="cellIs" dxfId="8572" priority="1341" stopIfTrue="1" operator="between">
      <formula>5.1</formula>
      <formula>13</formula>
    </cfRule>
    <cfRule type="cellIs" dxfId="8571" priority="1342" stopIfTrue="1" operator="between">
      <formula>0</formula>
      <formula>5</formula>
    </cfRule>
    <cfRule type="containsBlanks" dxfId="8570" priority="1343" stopIfTrue="1">
      <formula>LEN(TRIM(I207))=0</formula>
    </cfRule>
  </conditionalFormatting>
  <conditionalFormatting sqref="E211:P211">
    <cfRule type="containsBlanks" dxfId="8569" priority="1330" stopIfTrue="1">
      <formula>LEN(TRIM(E211))=0</formula>
    </cfRule>
    <cfRule type="cellIs" dxfId="8568" priority="1331" stopIfTrue="1" operator="between">
      <formula>80.1</formula>
      <formula>100</formula>
    </cfRule>
    <cfRule type="cellIs" dxfId="8567" priority="1332" stopIfTrue="1" operator="between">
      <formula>35.1</formula>
      <formula>80</formula>
    </cfRule>
    <cfRule type="cellIs" dxfId="8566" priority="1333" stopIfTrue="1" operator="between">
      <formula>14.1</formula>
      <formula>35</formula>
    </cfRule>
    <cfRule type="cellIs" dxfId="8565" priority="1334" stopIfTrue="1" operator="between">
      <formula>5.1</formula>
      <formula>14</formula>
    </cfRule>
    <cfRule type="cellIs" dxfId="8564" priority="1335" stopIfTrue="1" operator="between">
      <formula>0</formula>
      <formula>5</formula>
    </cfRule>
    <cfRule type="containsBlanks" dxfId="8563" priority="1336" stopIfTrue="1">
      <formula>LEN(TRIM(E211))=0</formula>
    </cfRule>
  </conditionalFormatting>
  <conditionalFormatting sqref="E215:P215">
    <cfRule type="containsBlanks" dxfId="8562" priority="1323" stopIfTrue="1">
      <formula>LEN(TRIM(E215))=0</formula>
    </cfRule>
    <cfRule type="cellIs" dxfId="8561" priority="1324" stopIfTrue="1" operator="between">
      <formula>80.1</formula>
      <formula>100</formula>
    </cfRule>
    <cfRule type="cellIs" dxfId="8560" priority="1325" stopIfTrue="1" operator="between">
      <formula>35.1</formula>
      <formula>80</formula>
    </cfRule>
    <cfRule type="cellIs" dxfId="8559" priority="1326" stopIfTrue="1" operator="between">
      <formula>14.1</formula>
      <formula>35</formula>
    </cfRule>
    <cfRule type="cellIs" dxfId="8558" priority="1327" stopIfTrue="1" operator="between">
      <formula>5.1</formula>
      <formula>14</formula>
    </cfRule>
    <cfRule type="cellIs" dxfId="8557" priority="1328" stopIfTrue="1" operator="between">
      <formula>0</formula>
      <formula>5</formula>
    </cfRule>
    <cfRule type="containsBlanks" dxfId="8556" priority="1329" stopIfTrue="1">
      <formula>LEN(TRIM(E215))=0</formula>
    </cfRule>
  </conditionalFormatting>
  <conditionalFormatting sqref="E217:P218">
    <cfRule type="containsBlanks" dxfId="8555" priority="1316" stopIfTrue="1">
      <formula>LEN(TRIM(E217))=0</formula>
    </cfRule>
    <cfRule type="cellIs" dxfId="8554" priority="1317" stopIfTrue="1" operator="between">
      <formula>80.1</formula>
      <formula>100</formula>
    </cfRule>
    <cfRule type="cellIs" dxfId="8553" priority="1318" stopIfTrue="1" operator="between">
      <formula>35.1</formula>
      <formula>80</formula>
    </cfRule>
    <cfRule type="cellIs" dxfId="8552" priority="1319" stopIfTrue="1" operator="between">
      <formula>14.1</formula>
      <formula>35</formula>
    </cfRule>
    <cfRule type="cellIs" dxfId="8551" priority="1320" stopIfTrue="1" operator="between">
      <formula>5.1</formula>
      <formula>14</formula>
    </cfRule>
    <cfRule type="cellIs" dxfId="8550" priority="1321" stopIfTrue="1" operator="between">
      <formula>0</formula>
      <formula>5</formula>
    </cfRule>
    <cfRule type="containsBlanks" dxfId="8549" priority="1322" stopIfTrue="1">
      <formula>LEN(TRIM(E217))=0</formula>
    </cfRule>
  </conditionalFormatting>
  <conditionalFormatting sqref="E219:P219">
    <cfRule type="containsBlanks" dxfId="8548" priority="1309" stopIfTrue="1">
      <formula>LEN(TRIM(E219))=0</formula>
    </cfRule>
    <cfRule type="cellIs" dxfId="8547" priority="1310" stopIfTrue="1" operator="between">
      <formula>80.1</formula>
      <formula>100</formula>
    </cfRule>
    <cfRule type="cellIs" dxfId="8546" priority="1311" stopIfTrue="1" operator="between">
      <formula>35.1</formula>
      <formula>80</formula>
    </cfRule>
    <cfRule type="cellIs" dxfId="8545" priority="1312" stopIfTrue="1" operator="between">
      <formula>14.1</formula>
      <formula>35</formula>
    </cfRule>
    <cfRule type="cellIs" dxfId="8544" priority="1313" stopIfTrue="1" operator="between">
      <formula>5.1</formula>
      <formula>14</formula>
    </cfRule>
    <cfRule type="cellIs" dxfId="8543" priority="1314" stopIfTrue="1" operator="between">
      <formula>0</formula>
      <formula>5</formula>
    </cfRule>
    <cfRule type="containsBlanks" dxfId="8542" priority="1315" stopIfTrue="1">
      <formula>LEN(TRIM(E219))=0</formula>
    </cfRule>
  </conditionalFormatting>
  <conditionalFormatting sqref="H225:P225 E225:F225">
    <cfRule type="containsBlanks" dxfId="8541" priority="1302" stopIfTrue="1">
      <formula>LEN(TRIM(E225))=0</formula>
    </cfRule>
    <cfRule type="cellIs" dxfId="8540" priority="1303" stopIfTrue="1" operator="between">
      <formula>80.1</formula>
      <formula>100</formula>
    </cfRule>
    <cfRule type="cellIs" dxfId="8539" priority="1304" stopIfTrue="1" operator="between">
      <formula>35.1</formula>
      <formula>80</formula>
    </cfRule>
    <cfRule type="cellIs" dxfId="8538" priority="1305" stopIfTrue="1" operator="between">
      <formula>14.1</formula>
      <formula>35</formula>
    </cfRule>
    <cfRule type="cellIs" dxfId="8537" priority="1306" stopIfTrue="1" operator="between">
      <formula>5.1</formula>
      <formula>14</formula>
    </cfRule>
    <cfRule type="cellIs" dxfId="8536" priority="1307" stopIfTrue="1" operator="between">
      <formula>0</formula>
      <formula>5</formula>
    </cfRule>
    <cfRule type="containsBlanks" dxfId="8535" priority="1308" stopIfTrue="1">
      <formula>LEN(TRIM(E225))=0</formula>
    </cfRule>
  </conditionalFormatting>
  <conditionalFormatting sqref="E235:P235">
    <cfRule type="containsBlanks" dxfId="8534" priority="1295" stopIfTrue="1">
      <formula>LEN(TRIM(E235))=0</formula>
    </cfRule>
    <cfRule type="cellIs" dxfId="8533" priority="1296" stopIfTrue="1" operator="between">
      <formula>80.1</formula>
      <formula>100</formula>
    </cfRule>
    <cfRule type="cellIs" dxfId="8532" priority="1297" stopIfTrue="1" operator="between">
      <formula>35.1</formula>
      <formula>80</formula>
    </cfRule>
    <cfRule type="cellIs" dxfId="8531" priority="1298" stopIfTrue="1" operator="between">
      <formula>14.1</formula>
      <formula>35</formula>
    </cfRule>
    <cfRule type="cellIs" dxfId="8530" priority="1299" stopIfTrue="1" operator="between">
      <formula>5.1</formula>
      <formula>14</formula>
    </cfRule>
    <cfRule type="cellIs" dxfId="8529" priority="1300" stopIfTrue="1" operator="between">
      <formula>0</formula>
      <formula>5</formula>
    </cfRule>
    <cfRule type="containsBlanks" dxfId="8528" priority="1301" stopIfTrue="1">
      <formula>LEN(TRIM(E235))=0</formula>
    </cfRule>
  </conditionalFormatting>
  <conditionalFormatting sqref="E238:P238">
    <cfRule type="containsBlanks" dxfId="8527" priority="1288" stopIfTrue="1">
      <formula>LEN(TRIM(E238))=0</formula>
    </cfRule>
    <cfRule type="cellIs" dxfId="8526" priority="1289" stopIfTrue="1" operator="between">
      <formula>80.1</formula>
      <formula>100</formula>
    </cfRule>
    <cfRule type="cellIs" dxfId="8525" priority="1290" stopIfTrue="1" operator="between">
      <formula>35.1</formula>
      <formula>80</formula>
    </cfRule>
    <cfRule type="cellIs" dxfId="8524" priority="1291" stopIfTrue="1" operator="between">
      <formula>14.1</formula>
      <formula>35</formula>
    </cfRule>
    <cfRule type="cellIs" dxfId="8523" priority="1292" stopIfTrue="1" operator="between">
      <formula>5.1</formula>
      <formula>14</formula>
    </cfRule>
    <cfRule type="cellIs" dxfId="8522" priority="1293" stopIfTrue="1" operator="between">
      <formula>0</formula>
      <formula>5</formula>
    </cfRule>
    <cfRule type="containsBlanks" dxfId="8521" priority="1294" stopIfTrue="1">
      <formula>LEN(TRIM(E238))=0</formula>
    </cfRule>
  </conditionalFormatting>
  <conditionalFormatting sqref="E237:P237">
    <cfRule type="containsBlanks" dxfId="8520" priority="1281" stopIfTrue="1">
      <formula>LEN(TRIM(E237))=0</formula>
    </cfRule>
    <cfRule type="cellIs" dxfId="8519" priority="1282" stopIfTrue="1" operator="between">
      <formula>80.1</formula>
      <formula>100</formula>
    </cfRule>
    <cfRule type="cellIs" dxfId="8518" priority="1283" stopIfTrue="1" operator="between">
      <formula>35.1</formula>
      <formula>80</formula>
    </cfRule>
    <cfRule type="cellIs" dxfId="8517" priority="1284" stopIfTrue="1" operator="between">
      <formula>14.1</formula>
      <formula>35</formula>
    </cfRule>
    <cfRule type="cellIs" dxfId="8516" priority="1285" stopIfTrue="1" operator="between">
      <formula>5.1</formula>
      <formula>14</formula>
    </cfRule>
    <cfRule type="cellIs" dxfId="8515" priority="1286" stopIfTrue="1" operator="between">
      <formula>0</formula>
      <formula>5</formula>
    </cfRule>
    <cfRule type="containsBlanks" dxfId="8514" priority="1287" stopIfTrue="1">
      <formula>LEN(TRIM(E237))=0</formula>
    </cfRule>
  </conditionalFormatting>
  <conditionalFormatting sqref="E239:P240">
    <cfRule type="containsBlanks" dxfId="8513" priority="1274" stopIfTrue="1">
      <formula>LEN(TRIM(E239))=0</formula>
    </cfRule>
    <cfRule type="cellIs" dxfId="8512" priority="1275" stopIfTrue="1" operator="between">
      <formula>80.1</formula>
      <formula>100</formula>
    </cfRule>
    <cfRule type="cellIs" dxfId="8511" priority="1276" stopIfTrue="1" operator="between">
      <formula>35.1</formula>
      <formula>80</formula>
    </cfRule>
    <cfRule type="cellIs" dxfId="8510" priority="1277" stopIfTrue="1" operator="between">
      <formula>14.1</formula>
      <formula>35</formula>
    </cfRule>
    <cfRule type="cellIs" dxfId="8509" priority="1278" stopIfTrue="1" operator="between">
      <formula>5.1</formula>
      <formula>14</formula>
    </cfRule>
    <cfRule type="cellIs" dxfId="8508" priority="1279" stopIfTrue="1" operator="between">
      <formula>0</formula>
      <formula>5</formula>
    </cfRule>
    <cfRule type="containsBlanks" dxfId="8507" priority="1280" stopIfTrue="1">
      <formula>LEN(TRIM(E239))=0</formula>
    </cfRule>
  </conditionalFormatting>
  <conditionalFormatting sqref="E242:P242">
    <cfRule type="containsBlanks" dxfId="8506" priority="1267" stopIfTrue="1">
      <formula>LEN(TRIM(E242))=0</formula>
    </cfRule>
    <cfRule type="cellIs" dxfId="8505" priority="1268" stopIfTrue="1" operator="between">
      <formula>80.1</formula>
      <formula>100</formula>
    </cfRule>
    <cfRule type="cellIs" dxfId="8504" priority="1269" stopIfTrue="1" operator="between">
      <formula>35.1</formula>
      <formula>80</formula>
    </cfRule>
    <cfRule type="cellIs" dxfId="8503" priority="1270" stopIfTrue="1" operator="between">
      <formula>14.1</formula>
      <formula>35</formula>
    </cfRule>
    <cfRule type="cellIs" dxfId="8502" priority="1271" stopIfTrue="1" operator="between">
      <formula>5.1</formula>
      <formula>14</formula>
    </cfRule>
    <cfRule type="cellIs" dxfId="8501" priority="1272" stopIfTrue="1" operator="between">
      <formula>0</formula>
      <formula>5</formula>
    </cfRule>
    <cfRule type="containsBlanks" dxfId="8500" priority="1273" stopIfTrue="1">
      <formula>LEN(TRIM(E242))=0</formula>
    </cfRule>
  </conditionalFormatting>
  <conditionalFormatting sqref="E244:P244">
    <cfRule type="containsBlanks" dxfId="8499" priority="1260" stopIfTrue="1">
      <formula>LEN(TRIM(E244))=0</formula>
    </cfRule>
    <cfRule type="cellIs" dxfId="8498" priority="1261" stopIfTrue="1" operator="between">
      <formula>80.1</formula>
      <formula>100</formula>
    </cfRule>
    <cfRule type="cellIs" dxfId="8497" priority="1262" stopIfTrue="1" operator="between">
      <formula>35.1</formula>
      <formula>80</formula>
    </cfRule>
    <cfRule type="cellIs" dxfId="8496" priority="1263" stopIfTrue="1" operator="between">
      <formula>14.1</formula>
      <formula>35</formula>
    </cfRule>
    <cfRule type="cellIs" dxfId="8495" priority="1264" stopIfTrue="1" operator="between">
      <formula>5.1</formula>
      <formula>14</formula>
    </cfRule>
    <cfRule type="cellIs" dxfId="8494" priority="1265" stopIfTrue="1" operator="between">
      <formula>0</formula>
      <formula>5</formula>
    </cfRule>
    <cfRule type="containsBlanks" dxfId="8493" priority="1266" stopIfTrue="1">
      <formula>LEN(TRIM(E244))=0</formula>
    </cfRule>
  </conditionalFormatting>
  <conditionalFormatting sqref="E245:P245">
    <cfRule type="containsBlanks" dxfId="8492" priority="1253" stopIfTrue="1">
      <formula>LEN(TRIM(E245))=0</formula>
    </cfRule>
    <cfRule type="cellIs" dxfId="8491" priority="1254" stopIfTrue="1" operator="between">
      <formula>80.1</formula>
      <formula>100</formula>
    </cfRule>
    <cfRule type="cellIs" dxfId="8490" priority="1255" stopIfTrue="1" operator="between">
      <formula>35.1</formula>
      <formula>80</formula>
    </cfRule>
    <cfRule type="cellIs" dxfId="8489" priority="1256" stopIfTrue="1" operator="between">
      <formula>14.1</formula>
      <formula>35</formula>
    </cfRule>
    <cfRule type="cellIs" dxfId="8488" priority="1257" stopIfTrue="1" operator="between">
      <formula>5.1</formula>
      <formula>14</formula>
    </cfRule>
    <cfRule type="cellIs" dxfId="8487" priority="1258" stopIfTrue="1" operator="between">
      <formula>0</formula>
      <formula>5</formula>
    </cfRule>
    <cfRule type="containsBlanks" dxfId="8486" priority="1259" stopIfTrue="1">
      <formula>LEN(TRIM(E245))=0</formula>
    </cfRule>
  </conditionalFormatting>
  <conditionalFormatting sqref="E249:P249">
    <cfRule type="containsBlanks" dxfId="8485" priority="1246" stopIfTrue="1">
      <formula>LEN(TRIM(E249))=0</formula>
    </cfRule>
    <cfRule type="cellIs" dxfId="8484" priority="1247" stopIfTrue="1" operator="between">
      <formula>80.1</formula>
      <formula>100</formula>
    </cfRule>
    <cfRule type="cellIs" dxfId="8483" priority="1248" stopIfTrue="1" operator="between">
      <formula>35.1</formula>
      <formula>80</formula>
    </cfRule>
    <cfRule type="cellIs" dxfId="8482" priority="1249" stopIfTrue="1" operator="between">
      <formula>14.1</formula>
      <formula>35</formula>
    </cfRule>
    <cfRule type="cellIs" dxfId="8481" priority="1250" stopIfTrue="1" operator="between">
      <formula>5.1</formula>
      <formula>14</formula>
    </cfRule>
    <cfRule type="cellIs" dxfId="8480" priority="1251" stopIfTrue="1" operator="between">
      <formula>0</formula>
      <formula>5</formula>
    </cfRule>
    <cfRule type="containsBlanks" dxfId="8479" priority="1252" stopIfTrue="1">
      <formula>LEN(TRIM(E249))=0</formula>
    </cfRule>
  </conditionalFormatting>
  <conditionalFormatting sqref="E251:P251">
    <cfRule type="containsBlanks" dxfId="8478" priority="1239" stopIfTrue="1">
      <formula>LEN(TRIM(E251))=0</formula>
    </cfRule>
    <cfRule type="cellIs" dxfId="8477" priority="1240" stopIfTrue="1" operator="between">
      <formula>80.1</formula>
      <formula>100</formula>
    </cfRule>
    <cfRule type="cellIs" dxfId="8476" priority="1241" stopIfTrue="1" operator="between">
      <formula>35.1</formula>
      <formula>80</formula>
    </cfRule>
    <cfRule type="cellIs" dxfId="8475" priority="1242" stopIfTrue="1" operator="between">
      <formula>14.1</formula>
      <formula>35</formula>
    </cfRule>
    <cfRule type="cellIs" dxfId="8474" priority="1243" stopIfTrue="1" operator="between">
      <formula>5.1</formula>
      <formula>14</formula>
    </cfRule>
    <cfRule type="cellIs" dxfId="8473" priority="1244" stopIfTrue="1" operator="between">
      <formula>0</formula>
      <formula>5</formula>
    </cfRule>
    <cfRule type="containsBlanks" dxfId="8472" priority="1245" stopIfTrue="1">
      <formula>LEN(TRIM(E251))=0</formula>
    </cfRule>
  </conditionalFormatting>
  <conditionalFormatting sqref="E271:P271">
    <cfRule type="containsBlanks" dxfId="8471" priority="1232" stopIfTrue="1">
      <formula>LEN(TRIM(E271))=0</formula>
    </cfRule>
    <cfRule type="cellIs" dxfId="8470" priority="1233" stopIfTrue="1" operator="between">
      <formula>80.1</formula>
      <formula>100</formula>
    </cfRule>
    <cfRule type="cellIs" dxfId="8469" priority="1234" stopIfTrue="1" operator="between">
      <formula>35.1</formula>
      <formula>80</formula>
    </cfRule>
    <cfRule type="cellIs" dxfId="8468" priority="1235" stopIfTrue="1" operator="between">
      <formula>14.1</formula>
      <formula>35</formula>
    </cfRule>
    <cfRule type="cellIs" dxfId="8467" priority="1236" stopIfTrue="1" operator="between">
      <formula>5.1</formula>
      <formula>14</formula>
    </cfRule>
    <cfRule type="cellIs" dxfId="8466" priority="1237" stopIfTrue="1" operator="between">
      <formula>0</formula>
      <formula>5</formula>
    </cfRule>
    <cfRule type="containsBlanks" dxfId="8465" priority="1238" stopIfTrue="1">
      <formula>LEN(TRIM(E271))=0</formula>
    </cfRule>
  </conditionalFormatting>
  <conditionalFormatting sqref="E268:P268">
    <cfRule type="containsBlanks" dxfId="8464" priority="1225" stopIfTrue="1">
      <formula>LEN(TRIM(E268))=0</formula>
    </cfRule>
    <cfRule type="cellIs" dxfId="8463" priority="1226" stopIfTrue="1" operator="between">
      <formula>80.1</formula>
      <formula>100</formula>
    </cfRule>
    <cfRule type="cellIs" dxfId="8462" priority="1227" stopIfTrue="1" operator="between">
      <formula>35.1</formula>
      <formula>80</formula>
    </cfRule>
    <cfRule type="cellIs" dxfId="8461" priority="1228" stopIfTrue="1" operator="between">
      <formula>14.1</formula>
      <formula>35</formula>
    </cfRule>
    <cfRule type="cellIs" dxfId="8460" priority="1229" stopIfTrue="1" operator="between">
      <formula>5.1</formula>
      <formula>14</formula>
    </cfRule>
    <cfRule type="cellIs" dxfId="8459" priority="1230" stopIfTrue="1" operator="between">
      <formula>0</formula>
      <formula>5</formula>
    </cfRule>
    <cfRule type="containsBlanks" dxfId="8458" priority="1231" stopIfTrue="1">
      <formula>LEN(TRIM(E268))=0</formula>
    </cfRule>
  </conditionalFormatting>
  <conditionalFormatting sqref="E267:P267">
    <cfRule type="containsBlanks" dxfId="8457" priority="1218" stopIfTrue="1">
      <formula>LEN(TRIM(E267))=0</formula>
    </cfRule>
    <cfRule type="cellIs" dxfId="8456" priority="1219" stopIfTrue="1" operator="between">
      <formula>80.1</formula>
      <formula>100</formula>
    </cfRule>
    <cfRule type="cellIs" dxfId="8455" priority="1220" stopIfTrue="1" operator="between">
      <formula>35.1</formula>
      <formula>80</formula>
    </cfRule>
    <cfRule type="cellIs" dxfId="8454" priority="1221" stopIfTrue="1" operator="between">
      <formula>14.1</formula>
      <formula>35</formula>
    </cfRule>
    <cfRule type="cellIs" dxfId="8453" priority="1222" stopIfTrue="1" operator="between">
      <formula>5.1</formula>
      <formula>14</formula>
    </cfRule>
    <cfRule type="cellIs" dxfId="8452" priority="1223" stopIfTrue="1" operator="between">
      <formula>0</formula>
      <formula>5</formula>
    </cfRule>
    <cfRule type="containsBlanks" dxfId="8451" priority="1224" stopIfTrue="1">
      <formula>LEN(TRIM(E267))=0</formula>
    </cfRule>
  </conditionalFormatting>
  <conditionalFormatting sqref="E265:P265">
    <cfRule type="containsBlanks" dxfId="8450" priority="1211" stopIfTrue="1">
      <formula>LEN(TRIM(E265))=0</formula>
    </cfRule>
    <cfRule type="cellIs" dxfId="8449" priority="1212" stopIfTrue="1" operator="between">
      <formula>80.1</formula>
      <formula>100</formula>
    </cfRule>
    <cfRule type="cellIs" dxfId="8448" priority="1213" stopIfTrue="1" operator="between">
      <formula>35.1</formula>
      <formula>80</formula>
    </cfRule>
    <cfRule type="cellIs" dxfId="8447" priority="1214" stopIfTrue="1" operator="between">
      <formula>14.1</formula>
      <formula>35</formula>
    </cfRule>
    <cfRule type="cellIs" dxfId="8446" priority="1215" stopIfTrue="1" operator="between">
      <formula>5.1</formula>
      <formula>14</formula>
    </cfRule>
    <cfRule type="cellIs" dxfId="8445" priority="1216" stopIfTrue="1" operator="between">
      <formula>0</formula>
      <formula>5</formula>
    </cfRule>
    <cfRule type="containsBlanks" dxfId="8444" priority="1217" stopIfTrue="1">
      <formula>LEN(TRIM(E265))=0</formula>
    </cfRule>
  </conditionalFormatting>
  <conditionalFormatting sqref="E254:P254">
    <cfRule type="containsBlanks" dxfId="8443" priority="1204" stopIfTrue="1">
      <formula>LEN(TRIM(E254))=0</formula>
    </cfRule>
    <cfRule type="cellIs" dxfId="8442" priority="1205" stopIfTrue="1" operator="between">
      <formula>80.1</formula>
      <formula>100</formula>
    </cfRule>
    <cfRule type="cellIs" dxfId="8441" priority="1206" stopIfTrue="1" operator="between">
      <formula>35.1</formula>
      <formula>80</formula>
    </cfRule>
    <cfRule type="cellIs" dxfId="8440" priority="1207" stopIfTrue="1" operator="between">
      <formula>14.1</formula>
      <formula>35</formula>
    </cfRule>
    <cfRule type="cellIs" dxfId="8439" priority="1208" stopIfTrue="1" operator="between">
      <formula>5.1</formula>
      <formula>14</formula>
    </cfRule>
    <cfRule type="cellIs" dxfId="8438" priority="1209" stopIfTrue="1" operator="between">
      <formula>0</formula>
      <formula>5</formula>
    </cfRule>
    <cfRule type="containsBlanks" dxfId="8437" priority="1210" stopIfTrue="1">
      <formula>LEN(TRIM(E254))=0</formula>
    </cfRule>
  </conditionalFormatting>
  <conditionalFormatting sqref="P299">
    <cfRule type="containsBlanks" dxfId="8436" priority="871" stopIfTrue="1">
      <formula>LEN(TRIM(P299))=0</formula>
    </cfRule>
    <cfRule type="cellIs" dxfId="8435" priority="872" stopIfTrue="1" operator="between">
      <formula>80.1</formula>
      <formula>100</formula>
    </cfRule>
    <cfRule type="cellIs" dxfId="8434" priority="873" stopIfTrue="1" operator="between">
      <formula>35.1</formula>
      <formula>80</formula>
    </cfRule>
    <cfRule type="cellIs" dxfId="8433" priority="874" stopIfTrue="1" operator="between">
      <formula>14.1</formula>
      <formula>35</formula>
    </cfRule>
    <cfRule type="cellIs" dxfId="8432" priority="875" stopIfTrue="1" operator="between">
      <formula>5.1</formula>
      <formula>14</formula>
    </cfRule>
    <cfRule type="cellIs" dxfId="8431" priority="876" stopIfTrue="1" operator="between">
      <formula>0</formula>
      <formula>5</formula>
    </cfRule>
    <cfRule type="containsBlanks" dxfId="8430" priority="877" stopIfTrue="1">
      <formula>LEN(TRIM(P299))=0</formula>
    </cfRule>
  </conditionalFormatting>
  <conditionalFormatting sqref="E255:P255">
    <cfRule type="containsBlanks" dxfId="8429" priority="1190" stopIfTrue="1">
      <formula>LEN(TRIM(E255))=0</formula>
    </cfRule>
    <cfRule type="cellIs" dxfId="8428" priority="1191" stopIfTrue="1" operator="between">
      <formula>80.1</formula>
      <formula>100</formula>
    </cfRule>
    <cfRule type="cellIs" dxfId="8427" priority="1192" stopIfTrue="1" operator="between">
      <formula>35.1</formula>
      <formula>80</formula>
    </cfRule>
    <cfRule type="cellIs" dxfId="8426" priority="1193" stopIfTrue="1" operator="between">
      <formula>14.1</formula>
      <formula>35</formula>
    </cfRule>
    <cfRule type="cellIs" dxfId="8425" priority="1194" stopIfTrue="1" operator="between">
      <formula>5.1</formula>
      <formula>14</formula>
    </cfRule>
    <cfRule type="cellIs" dxfId="8424" priority="1195" stopIfTrue="1" operator="between">
      <formula>0</formula>
      <formula>5</formula>
    </cfRule>
    <cfRule type="containsBlanks" dxfId="8423" priority="1196" stopIfTrue="1">
      <formula>LEN(TRIM(E255))=0</formula>
    </cfRule>
  </conditionalFormatting>
  <conditionalFormatting sqref="E266:P266">
    <cfRule type="containsBlanks" dxfId="8422" priority="1183" stopIfTrue="1">
      <formula>LEN(TRIM(E266))=0</formula>
    </cfRule>
    <cfRule type="cellIs" dxfId="8421" priority="1184" stopIfTrue="1" operator="between">
      <formula>80.1</formula>
      <formula>100</formula>
    </cfRule>
    <cfRule type="cellIs" dxfId="8420" priority="1185" stopIfTrue="1" operator="between">
      <formula>35.1</formula>
      <formula>80</formula>
    </cfRule>
    <cfRule type="cellIs" dxfId="8419" priority="1186" stopIfTrue="1" operator="between">
      <formula>14.1</formula>
      <formula>35</formula>
    </cfRule>
    <cfRule type="cellIs" dxfId="8418" priority="1187" stopIfTrue="1" operator="between">
      <formula>5.1</formula>
      <formula>14</formula>
    </cfRule>
    <cfRule type="cellIs" dxfId="8417" priority="1188" stopIfTrue="1" operator="between">
      <formula>0</formula>
      <formula>5</formula>
    </cfRule>
    <cfRule type="containsBlanks" dxfId="8416" priority="1189" stopIfTrue="1">
      <formula>LEN(TRIM(E266))=0</formula>
    </cfRule>
  </conditionalFormatting>
  <conditionalFormatting sqref="E273:P273">
    <cfRule type="containsBlanks" dxfId="8415" priority="1176" stopIfTrue="1">
      <formula>LEN(TRIM(E273))=0</formula>
    </cfRule>
    <cfRule type="cellIs" dxfId="8414" priority="1177" stopIfTrue="1" operator="between">
      <formula>80.1</formula>
      <formula>100</formula>
    </cfRule>
    <cfRule type="cellIs" dxfId="8413" priority="1178" stopIfTrue="1" operator="between">
      <formula>35.1</formula>
      <formula>80</formula>
    </cfRule>
    <cfRule type="cellIs" dxfId="8412" priority="1179" stopIfTrue="1" operator="between">
      <formula>14.1</formula>
      <formula>35</formula>
    </cfRule>
    <cfRule type="cellIs" dxfId="8411" priority="1180" stopIfTrue="1" operator="between">
      <formula>5.1</formula>
      <formula>14</formula>
    </cfRule>
    <cfRule type="cellIs" dxfId="8410" priority="1181" stopIfTrue="1" operator="between">
      <formula>0</formula>
      <formula>5</formula>
    </cfRule>
    <cfRule type="containsBlanks" dxfId="8409" priority="1182" stopIfTrue="1">
      <formula>LEN(TRIM(E273))=0</formula>
    </cfRule>
  </conditionalFormatting>
  <conditionalFormatting sqref="R274">
    <cfRule type="cellIs" dxfId="8408" priority="1175" stopIfTrue="1" operator="equal">
      <formula>"NO"</formula>
    </cfRule>
  </conditionalFormatting>
  <conditionalFormatting sqref="S274">
    <cfRule type="cellIs" dxfId="8407" priority="1174" stopIfTrue="1" operator="equal">
      <formula>"INVIABLE SANITARIAMENTE"</formula>
    </cfRule>
  </conditionalFormatting>
  <conditionalFormatting sqref="E274:Q274">
    <cfRule type="containsBlanks" dxfId="8406" priority="1167" stopIfTrue="1">
      <formula>LEN(TRIM(E274))=0</formula>
    </cfRule>
    <cfRule type="cellIs" dxfId="8405" priority="1168" stopIfTrue="1" operator="between">
      <formula>80.1</formula>
      <formula>100</formula>
    </cfRule>
    <cfRule type="cellIs" dxfId="8404" priority="1169" stopIfTrue="1" operator="between">
      <formula>35.1</formula>
      <formula>80</formula>
    </cfRule>
    <cfRule type="cellIs" dxfId="8403" priority="1170" stopIfTrue="1" operator="between">
      <formula>14.1</formula>
      <formula>35</formula>
    </cfRule>
    <cfRule type="cellIs" dxfId="8402" priority="1171" stopIfTrue="1" operator="between">
      <formula>5.1</formula>
      <formula>14</formula>
    </cfRule>
    <cfRule type="cellIs" dxfId="8401" priority="1172" stopIfTrue="1" operator="between">
      <formula>0</formula>
      <formula>5</formula>
    </cfRule>
    <cfRule type="containsBlanks" dxfId="8400" priority="1173" stopIfTrue="1">
      <formula>LEN(TRIM(E274))=0</formula>
    </cfRule>
  </conditionalFormatting>
  <conditionalFormatting sqref="S274">
    <cfRule type="containsText" dxfId="8399" priority="1162" stopIfTrue="1" operator="containsText" text="INVIABLE SANITARIAMENTE">
      <formula>NOT(ISERROR(SEARCH("INVIABLE SANITARIAMENTE",S274)))</formula>
    </cfRule>
    <cfRule type="containsText" dxfId="8398" priority="1163" stopIfTrue="1" operator="containsText" text="ALTO">
      <formula>NOT(ISERROR(SEARCH("ALTO",S274)))</formula>
    </cfRule>
    <cfRule type="containsText" dxfId="8397" priority="1164" stopIfTrue="1" operator="containsText" text="MEDIO">
      <formula>NOT(ISERROR(SEARCH("MEDIO",S274)))</formula>
    </cfRule>
    <cfRule type="containsText" dxfId="8396" priority="1165" stopIfTrue="1" operator="containsText" text="BAJO">
      <formula>NOT(ISERROR(SEARCH("BAJO",S274)))</formula>
    </cfRule>
    <cfRule type="containsText" dxfId="8395" priority="1166" stopIfTrue="1" operator="containsText" text="SIN RIESGO">
      <formula>NOT(ISERROR(SEARCH("SIN RIESGO",S274)))</formula>
    </cfRule>
  </conditionalFormatting>
  <conditionalFormatting sqref="S274">
    <cfRule type="containsText" dxfId="8394" priority="1161" stopIfTrue="1" operator="containsText" text="SIN RIESGO">
      <formula>NOT(ISERROR(SEARCH("SIN RIESGO",S274)))</formula>
    </cfRule>
  </conditionalFormatting>
  <conditionalFormatting sqref="E275:P279">
    <cfRule type="containsBlanks" dxfId="8393" priority="1154" stopIfTrue="1">
      <formula>LEN(TRIM(E275))=0</formula>
    </cfRule>
    <cfRule type="cellIs" dxfId="8392" priority="1155" stopIfTrue="1" operator="between">
      <formula>80.1</formula>
      <formula>100</formula>
    </cfRule>
    <cfRule type="cellIs" dxfId="8391" priority="1156" stopIfTrue="1" operator="between">
      <formula>35.1</formula>
      <formula>80</formula>
    </cfRule>
    <cfRule type="cellIs" dxfId="8390" priority="1157" stopIfTrue="1" operator="between">
      <formula>14.1</formula>
      <formula>35</formula>
    </cfRule>
    <cfRule type="cellIs" dxfId="8389" priority="1158" stopIfTrue="1" operator="between">
      <formula>5.1</formula>
      <formula>14</formula>
    </cfRule>
    <cfRule type="cellIs" dxfId="8388" priority="1159" stopIfTrue="1" operator="between">
      <formula>0</formula>
      <formula>5</formula>
    </cfRule>
    <cfRule type="containsBlanks" dxfId="8387" priority="1160" stopIfTrue="1">
      <formula>LEN(TRIM(E275))=0</formula>
    </cfRule>
  </conditionalFormatting>
  <conditionalFormatting sqref="R288:R289">
    <cfRule type="cellIs" dxfId="8386" priority="1153" stopIfTrue="1" operator="equal">
      <formula>"NO"</formula>
    </cfRule>
  </conditionalFormatting>
  <conditionalFormatting sqref="S288:S289">
    <cfRule type="cellIs" dxfId="8385" priority="1152" stopIfTrue="1" operator="equal">
      <formula>"INVIABLE SANITARIAMENTE"</formula>
    </cfRule>
  </conditionalFormatting>
  <conditionalFormatting sqref="E288:Q289">
    <cfRule type="containsBlanks" dxfId="8384" priority="1145" stopIfTrue="1">
      <formula>LEN(TRIM(E288))=0</formula>
    </cfRule>
    <cfRule type="cellIs" dxfId="8383" priority="1146" stopIfTrue="1" operator="between">
      <formula>80.1</formula>
      <formula>100</formula>
    </cfRule>
    <cfRule type="cellIs" dxfId="8382" priority="1147" stopIfTrue="1" operator="between">
      <formula>35.1</formula>
      <formula>80</formula>
    </cfRule>
    <cfRule type="cellIs" dxfId="8381" priority="1148" stopIfTrue="1" operator="between">
      <formula>14.1</formula>
      <formula>35</formula>
    </cfRule>
    <cfRule type="cellIs" dxfId="8380" priority="1149" stopIfTrue="1" operator="between">
      <formula>5.1</formula>
      <formula>14</formula>
    </cfRule>
    <cfRule type="cellIs" dxfId="8379" priority="1150" stopIfTrue="1" operator="between">
      <formula>0</formula>
      <formula>5</formula>
    </cfRule>
    <cfRule type="containsBlanks" dxfId="8378" priority="1151" stopIfTrue="1">
      <formula>LEN(TRIM(E288))=0</formula>
    </cfRule>
  </conditionalFormatting>
  <conditionalFormatting sqref="S288:S289">
    <cfRule type="containsText" dxfId="8377" priority="1140" stopIfTrue="1" operator="containsText" text="INVIABLE SANITARIAMENTE">
      <formula>NOT(ISERROR(SEARCH("INVIABLE SANITARIAMENTE",S288)))</formula>
    </cfRule>
    <cfRule type="containsText" dxfId="8376" priority="1141" stopIfTrue="1" operator="containsText" text="ALTO">
      <formula>NOT(ISERROR(SEARCH("ALTO",S288)))</formula>
    </cfRule>
    <cfRule type="containsText" dxfId="8375" priority="1142" stopIfTrue="1" operator="containsText" text="MEDIO">
      <formula>NOT(ISERROR(SEARCH("MEDIO",S288)))</formula>
    </cfRule>
    <cfRule type="containsText" dxfId="8374" priority="1143" stopIfTrue="1" operator="containsText" text="BAJO">
      <formula>NOT(ISERROR(SEARCH("BAJO",S288)))</formula>
    </cfRule>
    <cfRule type="containsText" dxfId="8373" priority="1144" stopIfTrue="1" operator="containsText" text="SIN RIESGO">
      <formula>NOT(ISERROR(SEARCH("SIN RIESGO",S288)))</formula>
    </cfRule>
  </conditionalFormatting>
  <conditionalFormatting sqref="S288:S289">
    <cfRule type="containsText" dxfId="8372" priority="1139" stopIfTrue="1" operator="containsText" text="SIN RIESGO">
      <formula>NOT(ISERROR(SEARCH("SIN RIESGO",S288)))</formula>
    </cfRule>
  </conditionalFormatting>
  <conditionalFormatting sqref="E282:P282">
    <cfRule type="containsBlanks" dxfId="8371" priority="1132" stopIfTrue="1">
      <formula>LEN(TRIM(E282))=0</formula>
    </cfRule>
    <cfRule type="cellIs" dxfId="8370" priority="1133" stopIfTrue="1" operator="between">
      <formula>80.1</formula>
      <formula>100</formula>
    </cfRule>
    <cfRule type="cellIs" dxfId="8369" priority="1134" stopIfTrue="1" operator="between">
      <formula>35.1</formula>
      <formula>80</formula>
    </cfRule>
    <cfRule type="cellIs" dxfId="8368" priority="1135" stopIfTrue="1" operator="between">
      <formula>14.1</formula>
      <formula>35</formula>
    </cfRule>
    <cfRule type="cellIs" dxfId="8367" priority="1136" stopIfTrue="1" operator="between">
      <formula>5.1</formula>
      <formula>14</formula>
    </cfRule>
    <cfRule type="cellIs" dxfId="8366" priority="1137" stopIfTrue="1" operator="between">
      <formula>0</formula>
      <formula>5</formula>
    </cfRule>
    <cfRule type="containsBlanks" dxfId="8365" priority="1138" stopIfTrue="1">
      <formula>LEN(TRIM(E282))=0</formula>
    </cfRule>
  </conditionalFormatting>
  <conditionalFormatting sqref="R290">
    <cfRule type="cellIs" dxfId="8364" priority="1131" stopIfTrue="1" operator="equal">
      <formula>"NO"</formula>
    </cfRule>
  </conditionalFormatting>
  <conditionalFormatting sqref="S290">
    <cfRule type="cellIs" dxfId="8363" priority="1130" stopIfTrue="1" operator="equal">
      <formula>"INVIABLE SANITARIAMENTE"</formula>
    </cfRule>
  </conditionalFormatting>
  <conditionalFormatting sqref="E290:Q290">
    <cfRule type="containsBlanks" dxfId="8362" priority="1123" stopIfTrue="1">
      <formula>LEN(TRIM(E290))=0</formula>
    </cfRule>
    <cfRule type="cellIs" dxfId="8361" priority="1124" stopIfTrue="1" operator="between">
      <formula>80.1</formula>
      <formula>100</formula>
    </cfRule>
    <cfRule type="cellIs" dxfId="8360" priority="1125" stopIfTrue="1" operator="between">
      <formula>35.1</formula>
      <formula>80</formula>
    </cfRule>
    <cfRule type="cellIs" dxfId="8359" priority="1126" stopIfTrue="1" operator="between">
      <formula>14.1</formula>
      <formula>35</formula>
    </cfRule>
    <cfRule type="cellIs" dxfId="8358" priority="1127" stopIfTrue="1" operator="between">
      <formula>5.1</formula>
      <formula>14</formula>
    </cfRule>
    <cfRule type="cellIs" dxfId="8357" priority="1128" stopIfTrue="1" operator="between">
      <formula>0</formula>
      <formula>5</formula>
    </cfRule>
    <cfRule type="containsBlanks" dxfId="8356" priority="1129" stopIfTrue="1">
      <formula>LEN(TRIM(E290))=0</formula>
    </cfRule>
  </conditionalFormatting>
  <conditionalFormatting sqref="S290">
    <cfRule type="containsText" dxfId="8355" priority="1118" stopIfTrue="1" operator="containsText" text="INVIABLE SANITARIAMENTE">
      <formula>NOT(ISERROR(SEARCH("INVIABLE SANITARIAMENTE",S290)))</formula>
    </cfRule>
    <cfRule type="containsText" dxfId="8354" priority="1119" stopIfTrue="1" operator="containsText" text="ALTO">
      <formula>NOT(ISERROR(SEARCH("ALTO",S290)))</formula>
    </cfRule>
    <cfRule type="containsText" dxfId="8353" priority="1120" stopIfTrue="1" operator="containsText" text="MEDIO">
      <formula>NOT(ISERROR(SEARCH("MEDIO",S290)))</formula>
    </cfRule>
    <cfRule type="containsText" dxfId="8352" priority="1121" stopIfTrue="1" operator="containsText" text="BAJO">
      <formula>NOT(ISERROR(SEARCH("BAJO",S290)))</formula>
    </cfRule>
    <cfRule type="containsText" dxfId="8351" priority="1122" stopIfTrue="1" operator="containsText" text="SIN RIESGO">
      <formula>NOT(ISERROR(SEARCH("SIN RIESGO",S290)))</formula>
    </cfRule>
  </conditionalFormatting>
  <conditionalFormatting sqref="S290">
    <cfRule type="containsText" dxfId="8350" priority="1117" stopIfTrue="1" operator="containsText" text="SIN RIESGO">
      <formula>NOT(ISERROR(SEARCH("SIN RIESGO",S290)))</formula>
    </cfRule>
  </conditionalFormatting>
  <conditionalFormatting sqref="E285:P285">
    <cfRule type="containsBlanks" dxfId="8349" priority="1110" stopIfTrue="1">
      <formula>LEN(TRIM(E285))=0</formula>
    </cfRule>
    <cfRule type="cellIs" dxfId="8348" priority="1111" stopIfTrue="1" operator="between">
      <formula>80.1</formula>
      <formula>100</formula>
    </cfRule>
    <cfRule type="cellIs" dxfId="8347" priority="1112" stopIfTrue="1" operator="between">
      <formula>35.1</formula>
      <formula>80</formula>
    </cfRule>
    <cfRule type="cellIs" dxfId="8346" priority="1113" stopIfTrue="1" operator="between">
      <formula>14.1</formula>
      <formula>35</formula>
    </cfRule>
    <cfRule type="cellIs" dxfId="8345" priority="1114" stopIfTrue="1" operator="between">
      <formula>5.1</formula>
      <formula>14</formula>
    </cfRule>
    <cfRule type="cellIs" dxfId="8344" priority="1115" stopIfTrue="1" operator="between">
      <formula>0</formula>
      <formula>5</formula>
    </cfRule>
    <cfRule type="containsBlanks" dxfId="8343" priority="1116" stopIfTrue="1">
      <formula>LEN(TRIM(E285))=0</formula>
    </cfRule>
  </conditionalFormatting>
  <conditionalFormatting sqref="E286:P287">
    <cfRule type="containsBlanks" dxfId="8342" priority="1103" stopIfTrue="1">
      <formula>LEN(TRIM(E286))=0</formula>
    </cfRule>
    <cfRule type="cellIs" dxfId="8341" priority="1104" stopIfTrue="1" operator="between">
      <formula>80.1</formula>
      <formula>100</formula>
    </cfRule>
    <cfRule type="cellIs" dxfId="8340" priority="1105" stopIfTrue="1" operator="between">
      <formula>35.1</formula>
      <formula>80</formula>
    </cfRule>
    <cfRule type="cellIs" dxfId="8339" priority="1106" stopIfTrue="1" operator="between">
      <formula>14.1</formula>
      <formula>35</formula>
    </cfRule>
    <cfRule type="cellIs" dxfId="8338" priority="1107" stopIfTrue="1" operator="between">
      <formula>5.1</formula>
      <formula>14</formula>
    </cfRule>
    <cfRule type="cellIs" dxfId="8337" priority="1108" stopIfTrue="1" operator="between">
      <formula>0</formula>
      <formula>5</formula>
    </cfRule>
    <cfRule type="containsBlanks" dxfId="8336" priority="1109" stopIfTrue="1">
      <formula>LEN(TRIM(E286))=0</formula>
    </cfRule>
  </conditionalFormatting>
  <conditionalFormatting sqref="R291:R292">
    <cfRule type="cellIs" dxfId="8335" priority="1102" stopIfTrue="1" operator="equal">
      <formula>"NO"</formula>
    </cfRule>
  </conditionalFormatting>
  <conditionalFormatting sqref="S291:S292">
    <cfRule type="cellIs" dxfId="8334" priority="1101" stopIfTrue="1" operator="equal">
      <formula>"INVIABLE SANITARIAMENTE"</formula>
    </cfRule>
  </conditionalFormatting>
  <conditionalFormatting sqref="E291:Q292">
    <cfRule type="containsBlanks" dxfId="8333" priority="1094" stopIfTrue="1">
      <formula>LEN(TRIM(E291))=0</formula>
    </cfRule>
    <cfRule type="cellIs" dxfId="8332" priority="1095" stopIfTrue="1" operator="between">
      <formula>80.1</formula>
      <formula>100</formula>
    </cfRule>
    <cfRule type="cellIs" dxfId="8331" priority="1096" stopIfTrue="1" operator="between">
      <formula>35.1</formula>
      <formula>80</formula>
    </cfRule>
    <cfRule type="cellIs" dxfId="8330" priority="1097" stopIfTrue="1" operator="between">
      <formula>14.1</formula>
      <formula>35</formula>
    </cfRule>
    <cfRule type="cellIs" dxfId="8329" priority="1098" stopIfTrue="1" operator="between">
      <formula>5.1</formula>
      <formula>14</formula>
    </cfRule>
    <cfRule type="cellIs" dxfId="8328" priority="1099" stopIfTrue="1" operator="between">
      <formula>0</formula>
      <formula>5</formula>
    </cfRule>
    <cfRule type="containsBlanks" dxfId="8327" priority="1100" stopIfTrue="1">
      <formula>LEN(TRIM(E291))=0</formula>
    </cfRule>
  </conditionalFormatting>
  <conditionalFormatting sqref="S291:S292">
    <cfRule type="containsText" dxfId="8326" priority="1089" stopIfTrue="1" operator="containsText" text="INVIABLE SANITARIAMENTE">
      <formula>NOT(ISERROR(SEARCH("INVIABLE SANITARIAMENTE",S291)))</formula>
    </cfRule>
    <cfRule type="containsText" dxfId="8325" priority="1090" stopIfTrue="1" operator="containsText" text="ALTO">
      <formula>NOT(ISERROR(SEARCH("ALTO",S291)))</formula>
    </cfRule>
    <cfRule type="containsText" dxfId="8324" priority="1091" stopIfTrue="1" operator="containsText" text="MEDIO">
      <formula>NOT(ISERROR(SEARCH("MEDIO",S291)))</formula>
    </cfRule>
    <cfRule type="containsText" dxfId="8323" priority="1092" stopIfTrue="1" operator="containsText" text="BAJO">
      <formula>NOT(ISERROR(SEARCH("BAJO",S291)))</formula>
    </cfRule>
    <cfRule type="containsText" dxfId="8322" priority="1093" stopIfTrue="1" operator="containsText" text="SIN RIESGO">
      <formula>NOT(ISERROR(SEARCH("SIN RIESGO",S291)))</formula>
    </cfRule>
  </conditionalFormatting>
  <conditionalFormatting sqref="S291:S292">
    <cfRule type="containsText" dxfId="8321" priority="1088" stopIfTrue="1" operator="containsText" text="SIN RIESGO">
      <formula>NOT(ISERROR(SEARCH("SIN RIESGO",S291)))</formula>
    </cfRule>
  </conditionalFormatting>
  <conditionalFormatting sqref="P302 P309 P311 J301:P301 E324 E315 E298:E299 E296 N320:P320 E320:F320 H320:L320 H318:I318 E318:F318 G315:N315 F301:G301 H297:H299 G298:G299 E293:P293 E317:P317 G296:J296 K298:P298 O296 E302:N302 G324:P324 E319:P319 E311:N311 K318:P318 E312:P314 K299:L299 E321:P323 E309:N309 E316:N316 E295:P295 E310:P310 F294:P294 E303:P305 P315:P316 E308:P308">
    <cfRule type="containsBlanks" dxfId="8320" priority="1081" stopIfTrue="1">
      <formula>LEN(TRIM(E293))=0</formula>
    </cfRule>
    <cfRule type="cellIs" dxfId="8319" priority="1082" stopIfTrue="1" operator="between">
      <formula>80.1</formula>
      <formula>100</formula>
    </cfRule>
    <cfRule type="cellIs" dxfId="8318" priority="1083" stopIfTrue="1" operator="between">
      <formula>35.1</formula>
      <formula>80</formula>
    </cfRule>
    <cfRule type="cellIs" dxfId="8317" priority="1084" stopIfTrue="1" operator="between">
      <formula>14.1</formula>
      <formula>35</formula>
    </cfRule>
    <cfRule type="cellIs" dxfId="8316" priority="1085" stopIfTrue="1" operator="between">
      <formula>5.1</formula>
      <formula>14</formula>
    </cfRule>
    <cfRule type="cellIs" dxfId="8315" priority="1086" stopIfTrue="1" operator="between">
      <formula>0</formula>
      <formula>5</formula>
    </cfRule>
    <cfRule type="containsBlanks" dxfId="8314" priority="1087" stopIfTrue="1">
      <formula>LEN(TRIM(E293))=0</formula>
    </cfRule>
  </conditionalFormatting>
  <conditionalFormatting sqref="I298">
    <cfRule type="containsBlanks" dxfId="8313" priority="1074" stopIfTrue="1">
      <formula>LEN(TRIM(I298))=0</formula>
    </cfRule>
    <cfRule type="cellIs" dxfId="8312" priority="1075" stopIfTrue="1" operator="between">
      <formula>80.1</formula>
      <formula>100</formula>
    </cfRule>
    <cfRule type="cellIs" dxfId="8311" priority="1076" stopIfTrue="1" operator="between">
      <formula>35.1</formula>
      <formula>80</formula>
    </cfRule>
    <cfRule type="cellIs" dxfId="8310" priority="1077" stopIfTrue="1" operator="between">
      <formula>14.1</formula>
      <formula>35</formula>
    </cfRule>
    <cfRule type="cellIs" dxfId="8309" priority="1078" stopIfTrue="1" operator="between">
      <formula>5.1</formula>
      <formula>14</formula>
    </cfRule>
    <cfRule type="cellIs" dxfId="8308" priority="1079" stopIfTrue="1" operator="between">
      <formula>0</formula>
      <formula>5</formula>
    </cfRule>
    <cfRule type="containsBlanks" dxfId="8307" priority="1080" stopIfTrue="1">
      <formula>LEN(TRIM(I298))=0</formula>
    </cfRule>
  </conditionalFormatting>
  <conditionalFormatting sqref="E297">
    <cfRule type="containsBlanks" dxfId="8306" priority="1067" stopIfTrue="1">
      <formula>LEN(TRIM(E297))=0</formula>
    </cfRule>
    <cfRule type="cellIs" dxfId="8305" priority="1068" stopIfTrue="1" operator="between">
      <formula>80.1</formula>
      <formula>100</formula>
    </cfRule>
    <cfRule type="cellIs" dxfId="8304" priority="1069" stopIfTrue="1" operator="between">
      <formula>35.1</formula>
      <formula>80</formula>
    </cfRule>
    <cfRule type="cellIs" dxfId="8303" priority="1070" stopIfTrue="1" operator="between">
      <formula>14.1</formula>
      <formula>35</formula>
    </cfRule>
    <cfRule type="cellIs" dxfId="8302" priority="1071" stopIfTrue="1" operator="between">
      <formula>5.1</formula>
      <formula>14</formula>
    </cfRule>
    <cfRule type="cellIs" dxfId="8301" priority="1072" stopIfTrue="1" operator="between">
      <formula>0</formula>
      <formula>5</formula>
    </cfRule>
    <cfRule type="containsBlanks" dxfId="8300" priority="1073" stopIfTrue="1">
      <formula>LEN(TRIM(E297))=0</formula>
    </cfRule>
  </conditionalFormatting>
  <conditionalFormatting sqref="F297">
    <cfRule type="containsBlanks" dxfId="8299" priority="1060" stopIfTrue="1">
      <formula>LEN(TRIM(F297))=0</formula>
    </cfRule>
    <cfRule type="cellIs" dxfId="8298" priority="1061" stopIfTrue="1" operator="between">
      <formula>80.1</formula>
      <formula>100</formula>
    </cfRule>
    <cfRule type="cellIs" dxfId="8297" priority="1062" stopIfTrue="1" operator="between">
      <formula>35.1</formula>
      <formula>80</formula>
    </cfRule>
    <cfRule type="cellIs" dxfId="8296" priority="1063" stopIfTrue="1" operator="between">
      <formula>14.1</formula>
      <formula>35</formula>
    </cfRule>
    <cfRule type="cellIs" dxfId="8295" priority="1064" stopIfTrue="1" operator="between">
      <formula>5.1</formula>
      <formula>14</formula>
    </cfRule>
    <cfRule type="cellIs" dxfId="8294" priority="1065" stopIfTrue="1" operator="between">
      <formula>0</formula>
      <formula>5</formula>
    </cfRule>
    <cfRule type="containsBlanks" dxfId="8293" priority="1066" stopIfTrue="1">
      <formula>LEN(TRIM(F297))=0</formula>
    </cfRule>
  </conditionalFormatting>
  <conditionalFormatting sqref="I297">
    <cfRule type="containsBlanks" dxfId="8292" priority="1053" stopIfTrue="1">
      <formula>LEN(TRIM(I297))=0</formula>
    </cfRule>
    <cfRule type="cellIs" dxfId="8291" priority="1054" stopIfTrue="1" operator="between">
      <formula>80.1</formula>
      <formula>100</formula>
    </cfRule>
    <cfRule type="cellIs" dxfId="8290" priority="1055" stopIfTrue="1" operator="between">
      <formula>35.1</formula>
      <formula>80</formula>
    </cfRule>
    <cfRule type="cellIs" dxfId="8289" priority="1056" stopIfTrue="1" operator="between">
      <formula>14.1</formula>
      <formula>35</formula>
    </cfRule>
    <cfRule type="cellIs" dxfId="8288" priority="1057" stopIfTrue="1" operator="between">
      <formula>5.1</formula>
      <formula>14</formula>
    </cfRule>
    <cfRule type="cellIs" dxfId="8287" priority="1058" stopIfTrue="1" operator="between">
      <formula>0</formula>
      <formula>5</formula>
    </cfRule>
    <cfRule type="containsBlanks" dxfId="8286" priority="1059" stopIfTrue="1">
      <formula>LEN(TRIM(I297))=0</formula>
    </cfRule>
  </conditionalFormatting>
  <conditionalFormatting sqref="G297">
    <cfRule type="containsBlanks" dxfId="8285" priority="1046" stopIfTrue="1">
      <formula>LEN(TRIM(G297))=0</formula>
    </cfRule>
    <cfRule type="cellIs" dxfId="8284" priority="1047" stopIfTrue="1" operator="between">
      <formula>80.1</formula>
      <formula>100</formula>
    </cfRule>
    <cfRule type="cellIs" dxfId="8283" priority="1048" stopIfTrue="1" operator="between">
      <formula>35.1</formula>
      <formula>80</formula>
    </cfRule>
    <cfRule type="cellIs" dxfId="8282" priority="1049" stopIfTrue="1" operator="between">
      <formula>14.1</formula>
      <formula>35</formula>
    </cfRule>
    <cfRule type="cellIs" dxfId="8281" priority="1050" stopIfTrue="1" operator="between">
      <formula>5.1</formula>
      <formula>14</formula>
    </cfRule>
    <cfRule type="cellIs" dxfId="8280" priority="1051" stopIfTrue="1" operator="between">
      <formula>0</formula>
      <formula>5</formula>
    </cfRule>
    <cfRule type="containsBlanks" dxfId="8279" priority="1052" stopIfTrue="1">
      <formula>LEN(TRIM(G297))=0</formula>
    </cfRule>
  </conditionalFormatting>
  <conditionalFormatting sqref="O302">
    <cfRule type="containsBlanks" dxfId="8278" priority="1039" stopIfTrue="1">
      <formula>LEN(TRIM(O302))=0</formula>
    </cfRule>
    <cfRule type="cellIs" dxfId="8277" priority="1040" stopIfTrue="1" operator="between">
      <formula>80.1</formula>
      <formula>100</formula>
    </cfRule>
    <cfRule type="cellIs" dxfId="8276" priority="1041" stopIfTrue="1" operator="between">
      <formula>35.1</formula>
      <formula>80</formula>
    </cfRule>
    <cfRule type="cellIs" dxfId="8275" priority="1042" stopIfTrue="1" operator="between">
      <formula>14.1</formula>
      <formula>35</formula>
    </cfRule>
    <cfRule type="cellIs" dxfId="8274" priority="1043" stopIfTrue="1" operator="between">
      <formula>5.1</formula>
      <formula>14</formula>
    </cfRule>
    <cfRule type="cellIs" dxfId="8273" priority="1044" stopIfTrue="1" operator="between">
      <formula>0</formula>
      <formula>5</formula>
    </cfRule>
    <cfRule type="containsBlanks" dxfId="8272" priority="1045" stopIfTrue="1">
      <formula>LEN(TRIM(O302))=0</formula>
    </cfRule>
  </conditionalFormatting>
  <conditionalFormatting sqref="K296">
    <cfRule type="containsBlanks" dxfId="8271" priority="1032" stopIfTrue="1">
      <formula>LEN(TRIM(K296))=0</formula>
    </cfRule>
    <cfRule type="cellIs" dxfId="8270" priority="1033" stopIfTrue="1" operator="between">
      <formula>80.1</formula>
      <formula>100</formula>
    </cfRule>
    <cfRule type="cellIs" dxfId="8269" priority="1034" stopIfTrue="1" operator="between">
      <formula>35.1</formula>
      <formula>80</formula>
    </cfRule>
    <cfRule type="cellIs" dxfId="8268" priority="1035" stopIfTrue="1" operator="between">
      <formula>14.1</formula>
      <formula>35</formula>
    </cfRule>
    <cfRule type="cellIs" dxfId="8267" priority="1036" stopIfTrue="1" operator="between">
      <formula>5.1</formula>
      <formula>14</formula>
    </cfRule>
    <cfRule type="cellIs" dxfId="8266" priority="1037" stopIfTrue="1" operator="between">
      <formula>0</formula>
      <formula>5</formula>
    </cfRule>
    <cfRule type="containsBlanks" dxfId="8265" priority="1038" stopIfTrue="1">
      <formula>LEN(TRIM(K296))=0</formula>
    </cfRule>
  </conditionalFormatting>
  <conditionalFormatting sqref="F315">
    <cfRule type="containsBlanks" dxfId="8264" priority="1025" stopIfTrue="1">
      <formula>LEN(TRIM(F315))=0</formula>
    </cfRule>
    <cfRule type="cellIs" dxfId="8263" priority="1026" stopIfTrue="1" operator="between">
      <formula>80.1</formula>
      <formula>100</formula>
    </cfRule>
    <cfRule type="cellIs" dxfId="8262" priority="1027" stopIfTrue="1" operator="between">
      <formula>35.1</formula>
      <formula>80</formula>
    </cfRule>
    <cfRule type="cellIs" dxfId="8261" priority="1028" stopIfTrue="1" operator="between">
      <formula>14.1</formula>
      <formula>35</formula>
    </cfRule>
    <cfRule type="cellIs" dxfId="8260" priority="1029" stopIfTrue="1" operator="between">
      <formula>5.1</formula>
      <formula>14</formula>
    </cfRule>
    <cfRule type="cellIs" dxfId="8259" priority="1030" stopIfTrue="1" operator="between">
      <formula>0</formula>
      <formula>5</formula>
    </cfRule>
    <cfRule type="containsBlanks" dxfId="8258" priority="1031" stopIfTrue="1">
      <formula>LEN(TRIM(F315))=0</formula>
    </cfRule>
  </conditionalFormatting>
  <conditionalFormatting sqref="I301">
    <cfRule type="containsBlanks" dxfId="8257" priority="1018" stopIfTrue="1">
      <formula>LEN(TRIM(I301))=0</formula>
    </cfRule>
    <cfRule type="cellIs" dxfId="8256" priority="1019" stopIfTrue="1" operator="between">
      <formula>80.1</formula>
      <formula>100</formula>
    </cfRule>
    <cfRule type="cellIs" dxfId="8255" priority="1020" stopIfTrue="1" operator="between">
      <formula>35.1</formula>
      <formula>80</formula>
    </cfRule>
    <cfRule type="cellIs" dxfId="8254" priority="1021" stopIfTrue="1" operator="between">
      <formula>14.1</formula>
      <formula>35</formula>
    </cfRule>
    <cfRule type="cellIs" dxfId="8253" priority="1022" stopIfTrue="1" operator="between">
      <formula>5.1</formula>
      <formula>14</formula>
    </cfRule>
    <cfRule type="cellIs" dxfId="8252" priority="1023" stopIfTrue="1" operator="between">
      <formula>0</formula>
      <formula>5</formula>
    </cfRule>
    <cfRule type="containsBlanks" dxfId="8251" priority="1024" stopIfTrue="1">
      <formula>LEN(TRIM(I301))=0</formula>
    </cfRule>
  </conditionalFormatting>
  <conditionalFormatting sqref="F298">
    <cfRule type="containsBlanks" dxfId="8250" priority="1011" stopIfTrue="1">
      <formula>LEN(TRIM(F298))=0</formula>
    </cfRule>
    <cfRule type="cellIs" dxfId="8249" priority="1012" stopIfTrue="1" operator="between">
      <formula>80.1</formula>
      <formula>100</formula>
    </cfRule>
    <cfRule type="cellIs" dxfId="8248" priority="1013" stopIfTrue="1" operator="between">
      <formula>35.1</formula>
      <formula>80</formula>
    </cfRule>
    <cfRule type="cellIs" dxfId="8247" priority="1014" stopIfTrue="1" operator="between">
      <formula>14.1</formula>
      <formula>35</formula>
    </cfRule>
    <cfRule type="cellIs" dxfId="8246" priority="1015" stopIfTrue="1" operator="between">
      <formula>5.1</formula>
      <formula>14</formula>
    </cfRule>
    <cfRule type="cellIs" dxfId="8245" priority="1016" stopIfTrue="1" operator="between">
      <formula>0</formula>
      <formula>5</formula>
    </cfRule>
    <cfRule type="containsBlanks" dxfId="8244" priority="1017" stopIfTrue="1">
      <formula>LEN(TRIM(F298))=0</formula>
    </cfRule>
  </conditionalFormatting>
  <conditionalFormatting sqref="J298">
    <cfRule type="containsBlanks" dxfId="8243" priority="1004" stopIfTrue="1">
      <formula>LEN(TRIM(J298))=0</formula>
    </cfRule>
    <cfRule type="cellIs" dxfId="8242" priority="1005" stopIfTrue="1" operator="between">
      <formula>80.1</formula>
      <formula>100</formula>
    </cfRule>
    <cfRule type="cellIs" dxfId="8241" priority="1006" stopIfTrue="1" operator="between">
      <formula>35.1</formula>
      <formula>80</formula>
    </cfRule>
    <cfRule type="cellIs" dxfId="8240" priority="1007" stopIfTrue="1" operator="between">
      <formula>14.1</formula>
      <formula>35</formula>
    </cfRule>
    <cfRule type="cellIs" dxfId="8239" priority="1008" stopIfTrue="1" operator="between">
      <formula>5.1</formula>
      <formula>14</formula>
    </cfRule>
    <cfRule type="cellIs" dxfId="8238" priority="1009" stopIfTrue="1" operator="between">
      <formula>0</formula>
      <formula>5</formula>
    </cfRule>
    <cfRule type="containsBlanks" dxfId="8237" priority="1010" stopIfTrue="1">
      <formula>LEN(TRIM(J298))=0</formula>
    </cfRule>
  </conditionalFormatting>
  <conditionalFormatting sqref="F324">
    <cfRule type="containsBlanks" dxfId="8236" priority="997" stopIfTrue="1">
      <formula>LEN(TRIM(F324))=0</formula>
    </cfRule>
    <cfRule type="cellIs" dxfId="8235" priority="998" stopIfTrue="1" operator="between">
      <formula>80.1</formula>
      <formula>100</formula>
    </cfRule>
    <cfRule type="cellIs" dxfId="8234" priority="999" stopIfTrue="1" operator="between">
      <formula>35.1</formula>
      <formula>80</formula>
    </cfRule>
    <cfRule type="cellIs" dxfId="8233" priority="1000" stopIfTrue="1" operator="between">
      <formula>14.1</formula>
      <formula>35</formula>
    </cfRule>
    <cfRule type="cellIs" dxfId="8232" priority="1001" stopIfTrue="1" operator="between">
      <formula>5.1</formula>
      <formula>14</formula>
    </cfRule>
    <cfRule type="cellIs" dxfId="8231" priority="1002" stopIfTrue="1" operator="between">
      <formula>0</formula>
      <formula>5</formula>
    </cfRule>
    <cfRule type="containsBlanks" dxfId="8230" priority="1003" stopIfTrue="1">
      <formula>LEN(TRIM(F324))=0</formula>
    </cfRule>
  </conditionalFormatting>
  <conditionalFormatting sqref="I299">
    <cfRule type="containsBlanks" dxfId="8229" priority="990" stopIfTrue="1">
      <formula>LEN(TRIM(I299))=0</formula>
    </cfRule>
    <cfRule type="cellIs" dxfId="8228" priority="991" stopIfTrue="1" operator="between">
      <formula>80.1</formula>
      <formula>100</formula>
    </cfRule>
    <cfRule type="cellIs" dxfId="8227" priority="992" stopIfTrue="1" operator="between">
      <formula>35.1</formula>
      <formula>80</formula>
    </cfRule>
    <cfRule type="cellIs" dxfId="8226" priority="993" stopIfTrue="1" operator="between">
      <formula>14.1</formula>
      <formula>35</formula>
    </cfRule>
    <cfRule type="cellIs" dxfId="8225" priority="994" stopIfTrue="1" operator="between">
      <formula>5.1</formula>
      <formula>14</formula>
    </cfRule>
    <cfRule type="cellIs" dxfId="8224" priority="995" stopIfTrue="1" operator="between">
      <formula>0</formula>
      <formula>5</formula>
    </cfRule>
    <cfRule type="containsBlanks" dxfId="8223" priority="996" stopIfTrue="1">
      <formula>LEN(TRIM(I299))=0</formula>
    </cfRule>
  </conditionalFormatting>
  <conditionalFormatting sqref="J299">
    <cfRule type="containsBlanks" dxfId="8222" priority="983" stopIfTrue="1">
      <formula>LEN(TRIM(J299))=0</formula>
    </cfRule>
    <cfRule type="cellIs" dxfId="8221" priority="984" stopIfTrue="1" operator="between">
      <formula>80.1</formula>
      <formula>100</formula>
    </cfRule>
    <cfRule type="cellIs" dxfId="8220" priority="985" stopIfTrue="1" operator="between">
      <formula>35.1</formula>
      <formula>80</formula>
    </cfRule>
    <cfRule type="cellIs" dxfId="8219" priority="986" stopIfTrue="1" operator="between">
      <formula>14.1</formula>
      <formula>35</formula>
    </cfRule>
    <cfRule type="cellIs" dxfId="8218" priority="987" stopIfTrue="1" operator="between">
      <formula>5.1</formula>
      <formula>14</formula>
    </cfRule>
    <cfRule type="cellIs" dxfId="8217" priority="988" stopIfTrue="1" operator="between">
      <formula>0</formula>
      <formula>5</formula>
    </cfRule>
    <cfRule type="containsBlanks" dxfId="8216" priority="989" stopIfTrue="1">
      <formula>LEN(TRIM(J299))=0</formula>
    </cfRule>
  </conditionalFormatting>
  <conditionalFormatting sqref="G320">
    <cfRule type="containsBlanks" dxfId="8215" priority="976" stopIfTrue="1">
      <formula>LEN(TRIM(G320))=0</formula>
    </cfRule>
    <cfRule type="cellIs" dxfId="8214" priority="977" stopIfTrue="1" operator="between">
      <formula>80.1</formula>
      <formula>100</formula>
    </cfRule>
    <cfRule type="cellIs" dxfId="8213" priority="978" stopIfTrue="1" operator="between">
      <formula>35.1</formula>
      <formula>80</formula>
    </cfRule>
    <cfRule type="cellIs" dxfId="8212" priority="979" stopIfTrue="1" operator="between">
      <formula>14.1</formula>
      <formula>35</formula>
    </cfRule>
    <cfRule type="cellIs" dxfId="8211" priority="980" stopIfTrue="1" operator="between">
      <formula>5.1</formula>
      <formula>14</formula>
    </cfRule>
    <cfRule type="cellIs" dxfId="8210" priority="981" stopIfTrue="1" operator="between">
      <formula>0</formula>
      <formula>5</formula>
    </cfRule>
    <cfRule type="containsBlanks" dxfId="8209" priority="982" stopIfTrue="1">
      <formula>LEN(TRIM(G320))=0</formula>
    </cfRule>
  </conditionalFormatting>
  <conditionalFormatting sqref="L296">
    <cfRule type="containsBlanks" dxfId="8208" priority="969" stopIfTrue="1">
      <formula>LEN(TRIM(L296))=0</formula>
    </cfRule>
    <cfRule type="cellIs" dxfId="8207" priority="970" stopIfTrue="1" operator="between">
      <formula>80.1</formula>
      <formula>100</formula>
    </cfRule>
    <cfRule type="cellIs" dxfId="8206" priority="971" stopIfTrue="1" operator="between">
      <formula>35.1</formula>
      <formula>80</formula>
    </cfRule>
    <cfRule type="cellIs" dxfId="8205" priority="972" stopIfTrue="1" operator="between">
      <formula>14.1</formula>
      <formula>35</formula>
    </cfRule>
    <cfRule type="cellIs" dxfId="8204" priority="973" stopIfTrue="1" operator="between">
      <formula>5.1</formula>
      <formula>14</formula>
    </cfRule>
    <cfRule type="cellIs" dxfId="8203" priority="974" stopIfTrue="1" operator="between">
      <formula>0</formula>
      <formula>5</formula>
    </cfRule>
    <cfRule type="containsBlanks" dxfId="8202" priority="975" stopIfTrue="1">
      <formula>LEN(TRIM(L296))=0</formula>
    </cfRule>
  </conditionalFormatting>
  <conditionalFormatting sqref="M296">
    <cfRule type="containsBlanks" dxfId="8201" priority="962" stopIfTrue="1">
      <formula>LEN(TRIM(M296))=0</formula>
    </cfRule>
    <cfRule type="cellIs" dxfId="8200" priority="963" stopIfTrue="1" operator="between">
      <formula>80.1</formula>
      <formula>100</formula>
    </cfRule>
    <cfRule type="cellIs" dxfId="8199" priority="964" stopIfTrue="1" operator="between">
      <formula>35.1</formula>
      <formula>80</formula>
    </cfRule>
    <cfRule type="cellIs" dxfId="8198" priority="965" stopIfTrue="1" operator="between">
      <formula>14.1</formula>
      <formula>35</formula>
    </cfRule>
    <cfRule type="cellIs" dxfId="8197" priority="966" stopIfTrue="1" operator="between">
      <formula>5.1</formula>
      <formula>14</formula>
    </cfRule>
    <cfRule type="cellIs" dxfId="8196" priority="967" stopIfTrue="1" operator="between">
      <formula>0</formula>
      <formula>5</formula>
    </cfRule>
    <cfRule type="containsBlanks" dxfId="8195" priority="968" stopIfTrue="1">
      <formula>LEN(TRIM(M296))=0</formula>
    </cfRule>
  </conditionalFormatting>
  <conditionalFormatting sqref="N296">
    <cfRule type="containsBlanks" dxfId="8194" priority="955" stopIfTrue="1">
      <formula>LEN(TRIM(N296))=0</formula>
    </cfRule>
    <cfRule type="cellIs" dxfId="8193" priority="956" stopIfTrue="1" operator="between">
      <formula>80.1</formula>
      <formula>100</formula>
    </cfRule>
    <cfRule type="cellIs" dxfId="8192" priority="957" stopIfTrue="1" operator="between">
      <formula>35.1</formula>
      <formula>80</formula>
    </cfRule>
    <cfRule type="cellIs" dxfId="8191" priority="958" stopIfTrue="1" operator="between">
      <formula>14.1</formula>
      <formula>35</formula>
    </cfRule>
    <cfRule type="cellIs" dxfId="8190" priority="959" stopIfTrue="1" operator="between">
      <formula>5.1</formula>
      <formula>14</formula>
    </cfRule>
    <cfRule type="cellIs" dxfId="8189" priority="960" stopIfTrue="1" operator="between">
      <formula>0</formula>
      <formula>5</formula>
    </cfRule>
    <cfRule type="containsBlanks" dxfId="8188" priority="961" stopIfTrue="1">
      <formula>LEN(TRIM(N296))=0</formula>
    </cfRule>
  </conditionalFormatting>
  <conditionalFormatting sqref="P296">
    <cfRule type="containsBlanks" dxfId="8187" priority="948" stopIfTrue="1">
      <formula>LEN(TRIM(P296))=0</formula>
    </cfRule>
    <cfRule type="cellIs" dxfId="8186" priority="949" stopIfTrue="1" operator="between">
      <formula>80.1</formula>
      <formula>100</formula>
    </cfRule>
    <cfRule type="cellIs" dxfId="8185" priority="950" stopIfTrue="1" operator="between">
      <formula>35.1</formula>
      <formula>80</formula>
    </cfRule>
    <cfRule type="cellIs" dxfId="8184" priority="951" stopIfTrue="1" operator="between">
      <formula>14.1</formula>
      <formula>35</formula>
    </cfRule>
    <cfRule type="cellIs" dxfId="8183" priority="952" stopIfTrue="1" operator="between">
      <formula>5.1</formula>
      <formula>14</formula>
    </cfRule>
    <cfRule type="cellIs" dxfId="8182" priority="953" stopIfTrue="1" operator="between">
      <formula>0</formula>
      <formula>5</formula>
    </cfRule>
    <cfRule type="containsBlanks" dxfId="8181" priority="954" stopIfTrue="1">
      <formula>LEN(TRIM(P296))=0</formula>
    </cfRule>
  </conditionalFormatting>
  <conditionalFormatting sqref="J297">
    <cfRule type="containsBlanks" dxfId="8180" priority="941" stopIfTrue="1">
      <formula>LEN(TRIM(J297))=0</formula>
    </cfRule>
    <cfRule type="cellIs" dxfId="8179" priority="942" stopIfTrue="1" operator="between">
      <formula>80.1</formula>
      <formula>100</formula>
    </cfRule>
    <cfRule type="cellIs" dxfId="8178" priority="943" stopIfTrue="1" operator="between">
      <formula>35.1</formula>
      <formula>80</formula>
    </cfRule>
    <cfRule type="cellIs" dxfId="8177" priority="944" stopIfTrue="1" operator="between">
      <formula>14.1</formula>
      <formula>35</formula>
    </cfRule>
    <cfRule type="cellIs" dxfId="8176" priority="945" stopIfTrue="1" operator="between">
      <formula>5.1</formula>
      <formula>14</formula>
    </cfRule>
    <cfRule type="cellIs" dxfId="8175" priority="946" stopIfTrue="1" operator="between">
      <formula>0</formula>
      <formula>5</formula>
    </cfRule>
    <cfRule type="containsBlanks" dxfId="8174" priority="947" stopIfTrue="1">
      <formula>LEN(TRIM(J297))=0</formula>
    </cfRule>
  </conditionalFormatting>
  <conditionalFormatting sqref="K297">
    <cfRule type="containsBlanks" dxfId="8173" priority="934" stopIfTrue="1">
      <formula>LEN(TRIM(K297))=0</formula>
    </cfRule>
    <cfRule type="cellIs" dxfId="8172" priority="935" stopIfTrue="1" operator="between">
      <formula>80.1</formula>
      <formula>100</formula>
    </cfRule>
    <cfRule type="cellIs" dxfId="8171" priority="936" stopIfTrue="1" operator="between">
      <formula>35.1</formula>
      <formula>80</formula>
    </cfRule>
    <cfRule type="cellIs" dxfId="8170" priority="937" stopIfTrue="1" operator="between">
      <formula>14.1</formula>
      <formula>35</formula>
    </cfRule>
    <cfRule type="cellIs" dxfId="8169" priority="938" stopIfTrue="1" operator="between">
      <formula>5.1</formula>
      <formula>14</formula>
    </cfRule>
    <cfRule type="cellIs" dxfId="8168" priority="939" stopIfTrue="1" operator="between">
      <formula>0</formula>
      <formula>5</formula>
    </cfRule>
    <cfRule type="containsBlanks" dxfId="8167" priority="940" stopIfTrue="1">
      <formula>LEN(TRIM(K297))=0</formula>
    </cfRule>
  </conditionalFormatting>
  <conditionalFormatting sqref="L297">
    <cfRule type="containsBlanks" dxfId="8166" priority="927" stopIfTrue="1">
      <formula>LEN(TRIM(L297))=0</formula>
    </cfRule>
    <cfRule type="cellIs" dxfId="8165" priority="928" stopIfTrue="1" operator="between">
      <formula>80.1</formula>
      <formula>100</formula>
    </cfRule>
    <cfRule type="cellIs" dxfId="8164" priority="929" stopIfTrue="1" operator="between">
      <formula>35.1</formula>
      <formula>80</formula>
    </cfRule>
    <cfRule type="cellIs" dxfId="8163" priority="930" stopIfTrue="1" operator="between">
      <formula>14.1</formula>
      <formula>35</formula>
    </cfRule>
    <cfRule type="cellIs" dxfId="8162" priority="931" stopIfTrue="1" operator="between">
      <formula>5.1</formula>
      <formula>14</formula>
    </cfRule>
    <cfRule type="cellIs" dxfId="8161" priority="932" stopIfTrue="1" operator="between">
      <formula>0</formula>
      <formula>5</formula>
    </cfRule>
    <cfRule type="containsBlanks" dxfId="8160" priority="933" stopIfTrue="1">
      <formula>LEN(TRIM(L297))=0</formula>
    </cfRule>
  </conditionalFormatting>
  <conditionalFormatting sqref="M297">
    <cfRule type="containsBlanks" dxfId="8159" priority="920" stopIfTrue="1">
      <formula>LEN(TRIM(M297))=0</formula>
    </cfRule>
    <cfRule type="cellIs" dxfId="8158" priority="921" stopIfTrue="1" operator="between">
      <formula>80.1</formula>
      <formula>100</formula>
    </cfRule>
    <cfRule type="cellIs" dxfId="8157" priority="922" stopIfTrue="1" operator="between">
      <formula>35.1</formula>
      <formula>80</formula>
    </cfRule>
    <cfRule type="cellIs" dxfId="8156" priority="923" stopIfTrue="1" operator="between">
      <formula>14.1</formula>
      <formula>35</formula>
    </cfRule>
    <cfRule type="cellIs" dxfId="8155" priority="924" stopIfTrue="1" operator="between">
      <formula>5.1</formula>
      <formula>14</formula>
    </cfRule>
    <cfRule type="cellIs" dxfId="8154" priority="925" stopIfTrue="1" operator="between">
      <formula>0</formula>
      <formula>5</formula>
    </cfRule>
    <cfRule type="containsBlanks" dxfId="8153" priority="926" stopIfTrue="1">
      <formula>LEN(TRIM(M297))=0</formula>
    </cfRule>
  </conditionalFormatting>
  <conditionalFormatting sqref="N297">
    <cfRule type="containsBlanks" dxfId="8152" priority="913" stopIfTrue="1">
      <formula>LEN(TRIM(N297))=0</formula>
    </cfRule>
    <cfRule type="cellIs" dxfId="8151" priority="914" stopIfTrue="1" operator="between">
      <formula>80.1</formula>
      <formula>100</formula>
    </cfRule>
    <cfRule type="cellIs" dxfId="8150" priority="915" stopIfTrue="1" operator="between">
      <formula>35.1</formula>
      <formula>80</formula>
    </cfRule>
    <cfRule type="cellIs" dxfId="8149" priority="916" stopIfTrue="1" operator="between">
      <formula>14.1</formula>
      <formula>35</formula>
    </cfRule>
    <cfRule type="cellIs" dxfId="8148" priority="917" stopIfTrue="1" operator="between">
      <formula>5.1</formula>
      <formula>14</formula>
    </cfRule>
    <cfRule type="cellIs" dxfId="8147" priority="918" stopIfTrue="1" operator="between">
      <formula>0</formula>
      <formula>5</formula>
    </cfRule>
    <cfRule type="containsBlanks" dxfId="8146" priority="919" stopIfTrue="1">
      <formula>LEN(TRIM(N297))=0</formula>
    </cfRule>
  </conditionalFormatting>
  <conditionalFormatting sqref="O297">
    <cfRule type="containsBlanks" dxfId="8145" priority="906" stopIfTrue="1">
      <formula>LEN(TRIM(O297))=0</formula>
    </cfRule>
    <cfRule type="cellIs" dxfId="8144" priority="907" stopIfTrue="1" operator="between">
      <formula>80.1</formula>
      <formula>100</formula>
    </cfRule>
    <cfRule type="cellIs" dxfId="8143" priority="908" stopIfTrue="1" operator="between">
      <formula>35.1</formula>
      <formula>80</formula>
    </cfRule>
    <cfRule type="cellIs" dxfId="8142" priority="909" stopIfTrue="1" operator="between">
      <formula>14.1</formula>
      <formula>35</formula>
    </cfRule>
    <cfRule type="cellIs" dxfId="8141" priority="910" stopIfTrue="1" operator="between">
      <formula>5.1</formula>
      <formula>14</formula>
    </cfRule>
    <cfRule type="cellIs" dxfId="8140" priority="911" stopIfTrue="1" operator="between">
      <formula>0</formula>
      <formula>5</formula>
    </cfRule>
    <cfRule type="containsBlanks" dxfId="8139" priority="912" stopIfTrue="1">
      <formula>LEN(TRIM(O297))=0</formula>
    </cfRule>
  </conditionalFormatting>
  <conditionalFormatting sqref="P297">
    <cfRule type="containsBlanks" dxfId="8138" priority="899" stopIfTrue="1">
      <formula>LEN(TRIM(P297))=0</formula>
    </cfRule>
    <cfRule type="cellIs" dxfId="8137" priority="900" stopIfTrue="1" operator="between">
      <formula>80.1</formula>
      <formula>100</formula>
    </cfRule>
    <cfRule type="cellIs" dxfId="8136" priority="901" stopIfTrue="1" operator="between">
      <formula>35.1</formula>
      <formula>80</formula>
    </cfRule>
    <cfRule type="cellIs" dxfId="8135" priority="902" stopIfTrue="1" operator="between">
      <formula>14.1</formula>
      <formula>35</formula>
    </cfRule>
    <cfRule type="cellIs" dxfId="8134" priority="903" stopIfTrue="1" operator="between">
      <formula>5.1</formula>
      <formula>14</formula>
    </cfRule>
    <cfRule type="cellIs" dxfId="8133" priority="904" stopIfTrue="1" operator="between">
      <formula>0</formula>
      <formula>5</formula>
    </cfRule>
    <cfRule type="containsBlanks" dxfId="8132" priority="905" stopIfTrue="1">
      <formula>LEN(TRIM(P297))=0</formula>
    </cfRule>
  </conditionalFormatting>
  <conditionalFormatting sqref="M299">
    <cfRule type="containsBlanks" dxfId="8131" priority="892" stopIfTrue="1">
      <formula>LEN(TRIM(M299))=0</formula>
    </cfRule>
    <cfRule type="cellIs" dxfId="8130" priority="893" stopIfTrue="1" operator="between">
      <formula>80.1</formula>
      <formula>100</formula>
    </cfRule>
    <cfRule type="cellIs" dxfId="8129" priority="894" stopIfTrue="1" operator="between">
      <formula>35.1</formula>
      <formula>80</formula>
    </cfRule>
    <cfRule type="cellIs" dxfId="8128" priority="895" stopIfTrue="1" operator="between">
      <formula>14.1</formula>
      <formula>35</formula>
    </cfRule>
    <cfRule type="cellIs" dxfId="8127" priority="896" stopIfTrue="1" operator="between">
      <formula>5.1</formula>
      <formula>14</formula>
    </cfRule>
    <cfRule type="cellIs" dxfId="8126" priority="897" stopIfTrue="1" operator="between">
      <formula>0</formula>
      <formula>5</formula>
    </cfRule>
    <cfRule type="containsBlanks" dxfId="8125" priority="898" stopIfTrue="1">
      <formula>LEN(TRIM(M299))=0</formula>
    </cfRule>
  </conditionalFormatting>
  <conditionalFormatting sqref="N299">
    <cfRule type="containsBlanks" dxfId="8124" priority="885" stopIfTrue="1">
      <formula>LEN(TRIM(N299))=0</formula>
    </cfRule>
    <cfRule type="cellIs" dxfId="8123" priority="886" stopIfTrue="1" operator="between">
      <formula>80.1</formula>
      <formula>100</formula>
    </cfRule>
    <cfRule type="cellIs" dxfId="8122" priority="887" stopIfTrue="1" operator="between">
      <formula>35.1</formula>
      <formula>80</formula>
    </cfRule>
    <cfRule type="cellIs" dxfId="8121" priority="888" stopIfTrue="1" operator="between">
      <formula>14.1</formula>
      <formula>35</formula>
    </cfRule>
    <cfRule type="cellIs" dxfId="8120" priority="889" stopIfTrue="1" operator="between">
      <formula>5.1</formula>
      <formula>14</formula>
    </cfRule>
    <cfRule type="cellIs" dxfId="8119" priority="890" stopIfTrue="1" operator="between">
      <formula>0</formula>
      <formula>5</formula>
    </cfRule>
    <cfRule type="containsBlanks" dxfId="8118" priority="891" stopIfTrue="1">
      <formula>LEN(TRIM(N299))=0</formula>
    </cfRule>
  </conditionalFormatting>
  <conditionalFormatting sqref="O299">
    <cfRule type="containsBlanks" dxfId="8117" priority="878" stopIfTrue="1">
      <formula>LEN(TRIM(O299))=0</formula>
    </cfRule>
    <cfRule type="cellIs" dxfId="8116" priority="879" stopIfTrue="1" operator="between">
      <formula>80.1</formula>
      <formula>100</formula>
    </cfRule>
    <cfRule type="cellIs" dxfId="8115" priority="880" stopIfTrue="1" operator="between">
      <formula>35.1</formula>
      <formula>80</formula>
    </cfRule>
    <cfRule type="cellIs" dxfId="8114" priority="881" stopIfTrue="1" operator="between">
      <formula>14.1</formula>
      <formula>35</formula>
    </cfRule>
    <cfRule type="cellIs" dxfId="8113" priority="882" stopIfTrue="1" operator="between">
      <formula>5.1</formula>
      <formula>14</formula>
    </cfRule>
    <cfRule type="cellIs" dxfId="8112" priority="883" stopIfTrue="1" operator="between">
      <formula>0</formula>
      <formula>5</formula>
    </cfRule>
    <cfRule type="containsBlanks" dxfId="8111" priority="884" stopIfTrue="1">
      <formula>LEN(TRIM(O299))=0</formula>
    </cfRule>
  </conditionalFormatting>
  <conditionalFormatting sqref="E358:G358 I358:P358">
    <cfRule type="containsBlanks" dxfId="8110" priority="604" stopIfTrue="1">
      <formula>LEN(TRIM(E358))=0</formula>
    </cfRule>
    <cfRule type="cellIs" dxfId="8109" priority="605" stopIfTrue="1" operator="between">
      <formula>80.1</formula>
      <formula>100</formula>
    </cfRule>
    <cfRule type="cellIs" dxfId="8108" priority="606" stopIfTrue="1" operator="between">
      <formula>35.1</formula>
      <formula>80</formula>
    </cfRule>
    <cfRule type="cellIs" dxfId="8107" priority="607" stopIfTrue="1" operator="between">
      <formula>14.1</formula>
      <formula>35</formula>
    </cfRule>
    <cfRule type="cellIs" dxfId="8106" priority="608" stopIfTrue="1" operator="between">
      <formula>5.1</formula>
      <formula>14</formula>
    </cfRule>
    <cfRule type="cellIs" dxfId="8105" priority="609" stopIfTrue="1" operator="between">
      <formula>0</formula>
      <formula>5</formula>
    </cfRule>
    <cfRule type="containsBlanks" dxfId="8104" priority="610" stopIfTrue="1">
      <formula>LEN(TRIM(E358))=0</formula>
    </cfRule>
  </conditionalFormatting>
  <conditionalFormatting sqref="M320">
    <cfRule type="containsBlanks" dxfId="8103" priority="864" stopIfTrue="1">
      <formula>LEN(TRIM(M320))=0</formula>
    </cfRule>
    <cfRule type="cellIs" dxfId="8102" priority="865" stopIfTrue="1" operator="between">
      <formula>80.1</formula>
      <formula>100</formula>
    </cfRule>
    <cfRule type="cellIs" dxfId="8101" priority="866" stopIfTrue="1" operator="between">
      <formula>35.1</formula>
      <formula>80</formula>
    </cfRule>
    <cfRule type="cellIs" dxfId="8100" priority="867" stopIfTrue="1" operator="between">
      <formula>14.1</formula>
      <formula>35</formula>
    </cfRule>
    <cfRule type="cellIs" dxfId="8099" priority="868" stopIfTrue="1" operator="between">
      <formula>5.1</formula>
      <formula>14</formula>
    </cfRule>
    <cfRule type="cellIs" dxfId="8098" priority="869" stopIfTrue="1" operator="between">
      <formula>0</formula>
      <formula>5</formula>
    </cfRule>
    <cfRule type="containsBlanks" dxfId="8097" priority="870" stopIfTrue="1">
      <formula>LEN(TRIM(M320))=0</formula>
    </cfRule>
  </conditionalFormatting>
  <conditionalFormatting sqref="O315">
    <cfRule type="containsBlanks" dxfId="8096" priority="857" stopIfTrue="1">
      <formula>LEN(TRIM(O315))=0</formula>
    </cfRule>
    <cfRule type="cellIs" dxfId="8095" priority="858" stopIfTrue="1" operator="between">
      <formula>80.1</formula>
      <formula>100</formula>
    </cfRule>
    <cfRule type="cellIs" dxfId="8094" priority="859" stopIfTrue="1" operator="between">
      <formula>35.1</formula>
      <formula>80</formula>
    </cfRule>
    <cfRule type="cellIs" dxfId="8093" priority="860" stopIfTrue="1" operator="between">
      <formula>14.1</formula>
      <formula>35</formula>
    </cfRule>
    <cfRule type="cellIs" dxfId="8092" priority="861" stopIfTrue="1" operator="between">
      <formula>5.1</formula>
      <formula>14</formula>
    </cfRule>
    <cfRule type="cellIs" dxfId="8091" priority="862" stopIfTrue="1" operator="between">
      <formula>0</formula>
      <formula>5</formula>
    </cfRule>
    <cfRule type="containsBlanks" dxfId="8090" priority="863" stopIfTrue="1">
      <formula>LEN(TRIM(O315))=0</formula>
    </cfRule>
  </conditionalFormatting>
  <conditionalFormatting sqref="E325:P325">
    <cfRule type="containsBlanks" dxfId="8089" priority="850" stopIfTrue="1">
      <formula>LEN(TRIM(E325))=0</formula>
    </cfRule>
    <cfRule type="cellIs" dxfId="8088" priority="851" stopIfTrue="1" operator="between">
      <formula>80.1</formula>
      <formula>100</formula>
    </cfRule>
    <cfRule type="cellIs" dxfId="8087" priority="852" stopIfTrue="1" operator="between">
      <formula>35.1</formula>
      <formula>80</formula>
    </cfRule>
    <cfRule type="cellIs" dxfId="8086" priority="853" stopIfTrue="1" operator="between">
      <formula>14.1</formula>
      <formula>35</formula>
    </cfRule>
    <cfRule type="cellIs" dxfId="8085" priority="854" stopIfTrue="1" operator="between">
      <formula>5.1</formula>
      <formula>14</formula>
    </cfRule>
    <cfRule type="cellIs" dxfId="8084" priority="855" stopIfTrue="1" operator="between">
      <formula>0</formula>
      <formula>5</formula>
    </cfRule>
    <cfRule type="containsBlanks" dxfId="8083" priority="856" stopIfTrue="1">
      <formula>LEN(TRIM(E325))=0</formula>
    </cfRule>
  </conditionalFormatting>
  <conditionalFormatting sqref="R327">
    <cfRule type="cellIs" dxfId="8082" priority="849" stopIfTrue="1" operator="equal">
      <formula>"NO"</formula>
    </cfRule>
  </conditionalFormatting>
  <conditionalFormatting sqref="S327">
    <cfRule type="cellIs" dxfId="8081" priority="848" stopIfTrue="1" operator="equal">
      <formula>"INVIABLE SANITARIAMENTE"</formula>
    </cfRule>
  </conditionalFormatting>
  <conditionalFormatting sqref="E327:Q327">
    <cfRule type="containsBlanks" dxfId="8080" priority="841" stopIfTrue="1">
      <formula>LEN(TRIM(E327))=0</formula>
    </cfRule>
    <cfRule type="cellIs" dxfId="8079" priority="842" stopIfTrue="1" operator="between">
      <formula>80.1</formula>
      <formula>100</formula>
    </cfRule>
    <cfRule type="cellIs" dxfId="8078" priority="843" stopIfTrue="1" operator="between">
      <formula>35.1</formula>
      <formula>80</formula>
    </cfRule>
    <cfRule type="cellIs" dxfId="8077" priority="844" stopIfTrue="1" operator="between">
      <formula>14.1</formula>
      <formula>35</formula>
    </cfRule>
    <cfRule type="cellIs" dxfId="8076" priority="845" stopIfTrue="1" operator="between">
      <formula>5.1</formula>
      <formula>14</formula>
    </cfRule>
    <cfRule type="cellIs" dxfId="8075" priority="846" stopIfTrue="1" operator="between">
      <formula>0</formula>
      <formula>5</formula>
    </cfRule>
    <cfRule type="containsBlanks" dxfId="8074" priority="847" stopIfTrue="1">
      <formula>LEN(TRIM(E327))=0</formula>
    </cfRule>
  </conditionalFormatting>
  <conditionalFormatting sqref="S327">
    <cfRule type="containsText" dxfId="8073" priority="836" stopIfTrue="1" operator="containsText" text="INVIABLE SANITARIAMENTE">
      <formula>NOT(ISERROR(SEARCH("INVIABLE SANITARIAMENTE",S327)))</formula>
    </cfRule>
    <cfRule type="containsText" dxfId="8072" priority="837" stopIfTrue="1" operator="containsText" text="ALTO">
      <formula>NOT(ISERROR(SEARCH("ALTO",S327)))</formula>
    </cfRule>
    <cfRule type="containsText" dxfId="8071" priority="838" stopIfTrue="1" operator="containsText" text="MEDIO">
      <formula>NOT(ISERROR(SEARCH("MEDIO",S327)))</formula>
    </cfRule>
    <cfRule type="containsText" dxfId="8070" priority="839" stopIfTrue="1" operator="containsText" text="BAJO">
      <formula>NOT(ISERROR(SEARCH("BAJO",S327)))</formula>
    </cfRule>
    <cfRule type="containsText" dxfId="8069" priority="840" stopIfTrue="1" operator="containsText" text="SIN RIESGO">
      <formula>NOT(ISERROR(SEARCH("SIN RIESGO",S327)))</formula>
    </cfRule>
  </conditionalFormatting>
  <conditionalFormatting sqref="S327">
    <cfRule type="containsText" dxfId="8068" priority="835" stopIfTrue="1" operator="containsText" text="SIN RIESGO">
      <formula>NOT(ISERROR(SEARCH("SIN RIESGO",S327)))</formula>
    </cfRule>
  </conditionalFormatting>
  <conditionalFormatting sqref="E300:P300">
    <cfRule type="containsBlanks" dxfId="8067" priority="828" stopIfTrue="1">
      <formula>LEN(TRIM(E300))=0</formula>
    </cfRule>
    <cfRule type="cellIs" dxfId="8066" priority="829" stopIfTrue="1" operator="between">
      <formula>79.1</formula>
      <formula>100</formula>
    </cfRule>
    <cfRule type="cellIs" dxfId="8065" priority="830" stopIfTrue="1" operator="between">
      <formula>34.1</formula>
      <formula>79</formula>
    </cfRule>
    <cfRule type="cellIs" dxfId="8064" priority="831" stopIfTrue="1" operator="between">
      <formula>13.1</formula>
      <formula>34</formula>
    </cfRule>
    <cfRule type="cellIs" dxfId="8063" priority="832" stopIfTrue="1" operator="between">
      <formula>5.1</formula>
      <formula>13</formula>
    </cfRule>
    <cfRule type="cellIs" dxfId="8062" priority="833" stopIfTrue="1" operator="between">
      <formula>0</formula>
      <formula>5</formula>
    </cfRule>
    <cfRule type="containsBlanks" dxfId="8061" priority="834" stopIfTrue="1">
      <formula>LEN(TRIM(E300))=0</formula>
    </cfRule>
  </conditionalFormatting>
  <conditionalFormatting sqref="E307:H307 J307:P307 E306:P306">
    <cfRule type="containsBlanks" dxfId="8060" priority="821" stopIfTrue="1">
      <formula>LEN(TRIM(E306))=0</formula>
    </cfRule>
    <cfRule type="cellIs" dxfId="8059" priority="822" stopIfTrue="1" operator="between">
      <formula>79.1</formula>
      <formula>100</formula>
    </cfRule>
    <cfRule type="cellIs" dxfId="8058" priority="823" stopIfTrue="1" operator="between">
      <formula>34.1</formula>
      <formula>79</formula>
    </cfRule>
    <cfRule type="cellIs" dxfId="8057" priority="824" stopIfTrue="1" operator="between">
      <formula>13.1</formula>
      <formula>34</formula>
    </cfRule>
    <cfRule type="cellIs" dxfId="8056" priority="825" stopIfTrue="1" operator="between">
      <formula>5.1</formula>
      <formula>13</formula>
    </cfRule>
    <cfRule type="cellIs" dxfId="8055" priority="826" stopIfTrue="1" operator="between">
      <formula>0</formula>
      <formula>5</formula>
    </cfRule>
    <cfRule type="containsBlanks" dxfId="8054" priority="827" stopIfTrue="1">
      <formula>LEN(TRIM(E306))=0</formula>
    </cfRule>
  </conditionalFormatting>
  <conditionalFormatting sqref="I307">
    <cfRule type="containsBlanks" dxfId="8053" priority="814" stopIfTrue="1">
      <formula>LEN(TRIM(I307))=0</formula>
    </cfRule>
    <cfRule type="cellIs" dxfId="8052" priority="815" stopIfTrue="1" operator="between">
      <formula>79.1</formula>
      <formula>100</formula>
    </cfRule>
    <cfRule type="cellIs" dxfId="8051" priority="816" stopIfTrue="1" operator="between">
      <formula>34.1</formula>
      <formula>79</formula>
    </cfRule>
    <cfRule type="cellIs" dxfId="8050" priority="817" stopIfTrue="1" operator="between">
      <formula>13.1</formula>
      <formula>34</formula>
    </cfRule>
    <cfRule type="cellIs" dxfId="8049" priority="818" stopIfTrue="1" operator="between">
      <formula>5.1</formula>
      <formula>13</formula>
    </cfRule>
    <cfRule type="cellIs" dxfId="8048" priority="819" stopIfTrue="1" operator="between">
      <formula>0</formula>
      <formula>5</formula>
    </cfRule>
    <cfRule type="containsBlanks" dxfId="8047" priority="820" stopIfTrue="1">
      <formula>LEN(TRIM(I307))=0</formula>
    </cfRule>
  </conditionalFormatting>
  <conditionalFormatting sqref="E329:P329">
    <cfRule type="containsBlanks" dxfId="8046" priority="807" stopIfTrue="1">
      <formula>LEN(TRIM(E329))=0</formula>
    </cfRule>
    <cfRule type="cellIs" dxfId="8045" priority="808" stopIfTrue="1" operator="between">
      <formula>80.1</formula>
      <formula>100</formula>
    </cfRule>
    <cfRule type="cellIs" dxfId="8044" priority="809" stopIfTrue="1" operator="between">
      <formula>35.1</formula>
      <formula>80</formula>
    </cfRule>
    <cfRule type="cellIs" dxfId="8043" priority="810" stopIfTrue="1" operator="between">
      <formula>14.1</formula>
      <formula>35</formula>
    </cfRule>
    <cfRule type="cellIs" dxfId="8042" priority="811" stopIfTrue="1" operator="between">
      <formula>5.1</formula>
      <formula>14</formula>
    </cfRule>
    <cfRule type="cellIs" dxfId="8041" priority="812" stopIfTrue="1" operator="between">
      <formula>0</formula>
      <formula>5</formula>
    </cfRule>
    <cfRule type="containsBlanks" dxfId="8040" priority="813" stopIfTrue="1">
      <formula>LEN(TRIM(E329))=0</formula>
    </cfRule>
  </conditionalFormatting>
  <conditionalFormatting sqref="E331:P331">
    <cfRule type="containsBlanks" dxfId="8039" priority="800" stopIfTrue="1">
      <formula>LEN(TRIM(E331))=0</formula>
    </cfRule>
    <cfRule type="cellIs" dxfId="8038" priority="801" stopIfTrue="1" operator="between">
      <formula>80.1</formula>
      <formula>100</formula>
    </cfRule>
    <cfRule type="cellIs" dxfId="8037" priority="802" stopIfTrue="1" operator="between">
      <formula>35.1</formula>
      <formula>80</formula>
    </cfRule>
    <cfRule type="cellIs" dxfId="8036" priority="803" stopIfTrue="1" operator="between">
      <formula>14.1</formula>
      <formula>35</formula>
    </cfRule>
    <cfRule type="cellIs" dxfId="8035" priority="804" stopIfTrue="1" operator="between">
      <formula>5.1</formula>
      <formula>14</formula>
    </cfRule>
    <cfRule type="cellIs" dxfId="8034" priority="805" stopIfTrue="1" operator="between">
      <formula>0</formula>
      <formula>5</formula>
    </cfRule>
    <cfRule type="containsBlanks" dxfId="8033" priority="806" stopIfTrue="1">
      <formula>LEN(TRIM(E331))=0</formula>
    </cfRule>
  </conditionalFormatting>
  <conditionalFormatting sqref="E341:G341 I341:P341">
    <cfRule type="containsBlanks" dxfId="8032" priority="793" stopIfTrue="1">
      <formula>LEN(TRIM(E341))=0</formula>
    </cfRule>
    <cfRule type="cellIs" dxfId="8031" priority="794" stopIfTrue="1" operator="between">
      <formula>80.1</formula>
      <formula>100</formula>
    </cfRule>
    <cfRule type="cellIs" dxfId="8030" priority="795" stopIfTrue="1" operator="between">
      <formula>35.1</formula>
      <formula>80</formula>
    </cfRule>
    <cfRule type="cellIs" dxfId="8029" priority="796" stopIfTrue="1" operator="between">
      <formula>14.1</formula>
      <formula>35</formula>
    </cfRule>
    <cfRule type="cellIs" dxfId="8028" priority="797" stopIfTrue="1" operator="between">
      <formula>5.1</formula>
      <formula>14</formula>
    </cfRule>
    <cfRule type="cellIs" dxfId="8027" priority="798" stopIfTrue="1" operator="between">
      <formula>0</formula>
      <formula>5</formula>
    </cfRule>
    <cfRule type="containsBlanks" dxfId="8026" priority="799" stopIfTrue="1">
      <formula>LEN(TRIM(E341))=0</formula>
    </cfRule>
  </conditionalFormatting>
  <conditionalFormatting sqref="H341">
    <cfRule type="containsBlanks" dxfId="8025" priority="786" stopIfTrue="1">
      <formula>LEN(TRIM(H341))=0</formula>
    </cfRule>
    <cfRule type="cellIs" dxfId="8024" priority="787" stopIfTrue="1" operator="between">
      <formula>79.1</formula>
      <formula>100</formula>
    </cfRule>
    <cfRule type="cellIs" dxfId="8023" priority="788" stopIfTrue="1" operator="between">
      <formula>34.1</formula>
      <formula>79</formula>
    </cfRule>
    <cfRule type="cellIs" dxfId="8022" priority="789" stopIfTrue="1" operator="between">
      <formula>13.1</formula>
      <formula>34</formula>
    </cfRule>
    <cfRule type="cellIs" dxfId="8021" priority="790" stopIfTrue="1" operator="between">
      <formula>5.1</formula>
      <formula>13</formula>
    </cfRule>
    <cfRule type="cellIs" dxfId="8020" priority="791" stopIfTrue="1" operator="between">
      <formula>0</formula>
      <formula>5</formula>
    </cfRule>
    <cfRule type="containsBlanks" dxfId="8019" priority="792" stopIfTrue="1">
      <formula>LEN(TRIM(H341))=0</formula>
    </cfRule>
  </conditionalFormatting>
  <conditionalFormatting sqref="E350:K350 M350:P350">
    <cfRule type="containsBlanks" dxfId="8018" priority="779" stopIfTrue="1">
      <formula>LEN(TRIM(E350))=0</formula>
    </cfRule>
    <cfRule type="cellIs" dxfId="8017" priority="780" stopIfTrue="1" operator="between">
      <formula>80.1</formula>
      <formula>100</formula>
    </cfRule>
    <cfRule type="cellIs" dxfId="8016" priority="781" stopIfTrue="1" operator="between">
      <formula>35.1</formula>
      <formula>80</formula>
    </cfRule>
    <cfRule type="cellIs" dxfId="8015" priority="782" stopIfTrue="1" operator="between">
      <formula>14.1</formula>
      <formula>35</formula>
    </cfRule>
    <cfRule type="cellIs" dxfId="8014" priority="783" stopIfTrue="1" operator="between">
      <formula>5.1</formula>
      <formula>14</formula>
    </cfRule>
    <cfRule type="cellIs" dxfId="8013" priority="784" stopIfTrue="1" operator="between">
      <formula>0</formula>
      <formula>5</formula>
    </cfRule>
    <cfRule type="containsBlanks" dxfId="8012" priority="785" stopIfTrue="1">
      <formula>LEN(TRIM(E350))=0</formula>
    </cfRule>
  </conditionalFormatting>
  <conditionalFormatting sqref="L350">
    <cfRule type="containsBlanks" dxfId="8011" priority="772" stopIfTrue="1">
      <formula>LEN(TRIM(L350))=0</formula>
    </cfRule>
    <cfRule type="cellIs" dxfId="8010" priority="773" stopIfTrue="1" operator="between">
      <formula>79.1</formula>
      <formula>100</formula>
    </cfRule>
    <cfRule type="cellIs" dxfId="8009" priority="774" stopIfTrue="1" operator="between">
      <formula>34.1</formula>
      <formula>79</formula>
    </cfRule>
    <cfRule type="cellIs" dxfId="8008" priority="775" stopIfTrue="1" operator="between">
      <formula>13.1</formula>
      <formula>34</formula>
    </cfRule>
    <cfRule type="cellIs" dxfId="8007" priority="776" stopIfTrue="1" operator="between">
      <formula>5.1</formula>
      <formula>13</formula>
    </cfRule>
    <cfRule type="cellIs" dxfId="8006" priority="777" stopIfTrue="1" operator="between">
      <formula>0</formula>
      <formula>5</formula>
    </cfRule>
    <cfRule type="containsBlanks" dxfId="8005" priority="778" stopIfTrue="1">
      <formula>LEN(TRIM(L350))=0</formula>
    </cfRule>
  </conditionalFormatting>
  <conditionalFormatting sqref="E365:P365">
    <cfRule type="containsBlanks" dxfId="8004" priority="765" stopIfTrue="1">
      <formula>LEN(TRIM(E365))=0</formula>
    </cfRule>
    <cfRule type="cellIs" dxfId="8003" priority="766" stopIfTrue="1" operator="between">
      <formula>80.1</formula>
      <formula>100</formula>
    </cfRule>
    <cfRule type="cellIs" dxfId="8002" priority="767" stopIfTrue="1" operator="between">
      <formula>35.1</formula>
      <formula>80</formula>
    </cfRule>
    <cfRule type="cellIs" dxfId="8001" priority="768" stopIfTrue="1" operator="between">
      <formula>14.1</formula>
      <formula>35</formula>
    </cfRule>
    <cfRule type="cellIs" dxfId="8000" priority="769" stopIfTrue="1" operator="between">
      <formula>5.1</formula>
      <formula>14</formula>
    </cfRule>
    <cfRule type="cellIs" dxfId="7999" priority="770" stopIfTrue="1" operator="between">
      <formula>0</formula>
      <formula>5</formula>
    </cfRule>
    <cfRule type="containsBlanks" dxfId="7998" priority="771" stopIfTrue="1">
      <formula>LEN(TRIM(E365))=0</formula>
    </cfRule>
  </conditionalFormatting>
  <conditionalFormatting sqref="O356:P356 E356:F356 H356:M356">
    <cfRule type="containsBlanks" dxfId="7997" priority="758" stopIfTrue="1">
      <formula>LEN(TRIM(E356))=0</formula>
    </cfRule>
    <cfRule type="cellIs" dxfId="7996" priority="759" stopIfTrue="1" operator="between">
      <formula>80.1</formula>
      <formula>100</formula>
    </cfRule>
    <cfRule type="cellIs" dxfId="7995" priority="760" stopIfTrue="1" operator="between">
      <formula>35.1</formula>
      <formula>80</formula>
    </cfRule>
    <cfRule type="cellIs" dxfId="7994" priority="761" stopIfTrue="1" operator="between">
      <formula>14.1</formula>
      <formula>35</formula>
    </cfRule>
    <cfRule type="cellIs" dxfId="7993" priority="762" stopIfTrue="1" operator="between">
      <formula>5.1</formula>
      <formula>14</formula>
    </cfRule>
    <cfRule type="cellIs" dxfId="7992" priority="763" stopIfTrue="1" operator="between">
      <formula>0</formula>
      <formula>5</formula>
    </cfRule>
    <cfRule type="containsBlanks" dxfId="7991" priority="764" stopIfTrue="1">
      <formula>LEN(TRIM(E356))=0</formula>
    </cfRule>
  </conditionalFormatting>
  <conditionalFormatting sqref="N356">
    <cfRule type="containsBlanks" dxfId="7990" priority="751" stopIfTrue="1">
      <formula>LEN(TRIM(N356))=0</formula>
    </cfRule>
    <cfRule type="cellIs" dxfId="7989" priority="752" stopIfTrue="1" operator="between">
      <formula>79.1</formula>
      <formula>100</formula>
    </cfRule>
    <cfRule type="cellIs" dxfId="7988" priority="753" stopIfTrue="1" operator="between">
      <formula>34.1</formula>
      <formula>79</formula>
    </cfRule>
    <cfRule type="cellIs" dxfId="7987" priority="754" stopIfTrue="1" operator="between">
      <formula>13.1</formula>
      <formula>34</formula>
    </cfRule>
    <cfRule type="cellIs" dxfId="7986" priority="755" stopIfTrue="1" operator="between">
      <formula>5.1</formula>
      <formula>13</formula>
    </cfRule>
    <cfRule type="cellIs" dxfId="7985" priority="756" stopIfTrue="1" operator="between">
      <formula>0</formula>
      <formula>5</formula>
    </cfRule>
    <cfRule type="containsBlanks" dxfId="7984" priority="757" stopIfTrue="1">
      <formula>LEN(TRIM(N356))=0</formula>
    </cfRule>
  </conditionalFormatting>
  <conditionalFormatting sqref="G356">
    <cfRule type="containsBlanks" dxfId="7983" priority="744" stopIfTrue="1">
      <formula>LEN(TRIM(G356))=0</formula>
    </cfRule>
    <cfRule type="cellIs" dxfId="7982" priority="745" stopIfTrue="1" operator="between">
      <formula>79.1</formula>
      <formula>100</formula>
    </cfRule>
    <cfRule type="cellIs" dxfId="7981" priority="746" stopIfTrue="1" operator="between">
      <formula>34.1</formula>
      <formula>79</formula>
    </cfRule>
    <cfRule type="cellIs" dxfId="7980" priority="747" stopIfTrue="1" operator="between">
      <formula>13.1</formula>
      <formula>34</formula>
    </cfRule>
    <cfRule type="cellIs" dxfId="7979" priority="748" stopIfTrue="1" operator="between">
      <formula>5.1</formula>
      <formula>13</formula>
    </cfRule>
    <cfRule type="cellIs" dxfId="7978" priority="749" stopIfTrue="1" operator="between">
      <formula>0</formula>
      <formula>5</formula>
    </cfRule>
    <cfRule type="containsBlanks" dxfId="7977" priority="750" stopIfTrue="1">
      <formula>LEN(TRIM(G356))=0</formula>
    </cfRule>
  </conditionalFormatting>
  <conditionalFormatting sqref="E345:H345 O345:P345 J345:M345">
    <cfRule type="containsBlanks" dxfId="7976" priority="737" stopIfTrue="1">
      <formula>LEN(TRIM(E345))=0</formula>
    </cfRule>
    <cfRule type="cellIs" dxfId="7975" priority="738" stopIfTrue="1" operator="between">
      <formula>80.1</formula>
      <formula>100</formula>
    </cfRule>
    <cfRule type="cellIs" dxfId="7974" priority="739" stopIfTrue="1" operator="between">
      <formula>35.1</formula>
      <formula>80</formula>
    </cfRule>
    <cfRule type="cellIs" dxfId="7973" priority="740" stopIfTrue="1" operator="between">
      <formula>14.1</formula>
      <formula>35</formula>
    </cfRule>
    <cfRule type="cellIs" dxfId="7972" priority="741" stopIfTrue="1" operator="between">
      <formula>5.1</formula>
      <formula>14</formula>
    </cfRule>
    <cfRule type="cellIs" dxfId="7971" priority="742" stopIfTrue="1" operator="between">
      <formula>0</formula>
      <formula>5</formula>
    </cfRule>
    <cfRule type="containsBlanks" dxfId="7970" priority="743" stopIfTrue="1">
      <formula>LEN(TRIM(E345))=0</formula>
    </cfRule>
  </conditionalFormatting>
  <conditionalFormatting sqref="N345">
    <cfRule type="containsBlanks" dxfId="7969" priority="730" stopIfTrue="1">
      <formula>LEN(TRIM(N345))=0</formula>
    </cfRule>
    <cfRule type="cellIs" dxfId="7968" priority="731" stopIfTrue="1" operator="between">
      <formula>79.1</formula>
      <formula>100</formula>
    </cfRule>
    <cfRule type="cellIs" dxfId="7967" priority="732" stopIfTrue="1" operator="between">
      <formula>34.1</formula>
      <formula>79</formula>
    </cfRule>
    <cfRule type="cellIs" dxfId="7966" priority="733" stopIfTrue="1" operator="between">
      <formula>13.1</formula>
      <formula>34</formula>
    </cfRule>
    <cfRule type="cellIs" dxfId="7965" priority="734" stopIfTrue="1" operator="between">
      <formula>5.1</formula>
      <formula>13</formula>
    </cfRule>
    <cfRule type="cellIs" dxfId="7964" priority="735" stopIfTrue="1" operator="between">
      <formula>0</formula>
      <formula>5</formula>
    </cfRule>
    <cfRule type="containsBlanks" dxfId="7963" priority="736" stopIfTrue="1">
      <formula>LEN(TRIM(N345))=0</formula>
    </cfRule>
  </conditionalFormatting>
  <conditionalFormatting sqref="I345">
    <cfRule type="containsBlanks" dxfId="7962" priority="723" stopIfTrue="1">
      <formula>LEN(TRIM(I345))=0</formula>
    </cfRule>
    <cfRule type="cellIs" dxfId="7961" priority="724" stopIfTrue="1" operator="between">
      <formula>79.1</formula>
      <formula>100</formula>
    </cfRule>
    <cfRule type="cellIs" dxfId="7960" priority="725" stopIfTrue="1" operator="between">
      <formula>34.1</formula>
      <formula>79</formula>
    </cfRule>
    <cfRule type="cellIs" dxfId="7959" priority="726" stopIfTrue="1" operator="between">
      <formula>13.1</formula>
      <formula>34</formula>
    </cfRule>
    <cfRule type="cellIs" dxfId="7958" priority="727" stopIfTrue="1" operator="between">
      <formula>5.1</formula>
      <formula>13</formula>
    </cfRule>
    <cfRule type="cellIs" dxfId="7957" priority="728" stopIfTrue="1" operator="between">
      <formula>0</formula>
      <formula>5</formula>
    </cfRule>
    <cfRule type="containsBlanks" dxfId="7956" priority="729" stopIfTrue="1">
      <formula>LEN(TRIM(I345))=0</formula>
    </cfRule>
  </conditionalFormatting>
  <conditionalFormatting sqref="E349:K349 M349:P349">
    <cfRule type="containsBlanks" dxfId="7955" priority="716" stopIfTrue="1">
      <formula>LEN(TRIM(E349))=0</formula>
    </cfRule>
    <cfRule type="cellIs" dxfId="7954" priority="717" stopIfTrue="1" operator="between">
      <formula>80.1</formula>
      <formula>100</formula>
    </cfRule>
    <cfRule type="cellIs" dxfId="7953" priority="718" stopIfTrue="1" operator="between">
      <formula>35.1</formula>
      <formula>80</formula>
    </cfRule>
    <cfRule type="cellIs" dxfId="7952" priority="719" stopIfTrue="1" operator="between">
      <formula>14.1</formula>
      <formula>35</formula>
    </cfRule>
    <cfRule type="cellIs" dxfId="7951" priority="720" stopIfTrue="1" operator="between">
      <formula>5.1</formula>
      <formula>14</formula>
    </cfRule>
    <cfRule type="cellIs" dxfId="7950" priority="721" stopIfTrue="1" operator="between">
      <formula>0</formula>
      <formula>5</formula>
    </cfRule>
    <cfRule type="containsBlanks" dxfId="7949" priority="722" stopIfTrue="1">
      <formula>LEN(TRIM(E349))=0</formula>
    </cfRule>
  </conditionalFormatting>
  <conditionalFormatting sqref="L349">
    <cfRule type="containsBlanks" dxfId="7948" priority="709" stopIfTrue="1">
      <formula>LEN(TRIM(L349))=0</formula>
    </cfRule>
    <cfRule type="cellIs" dxfId="7947" priority="710" stopIfTrue="1" operator="between">
      <formula>79.1</formula>
      <formula>100</formula>
    </cfRule>
    <cfRule type="cellIs" dxfId="7946" priority="711" stopIfTrue="1" operator="between">
      <formula>34.1</formula>
      <formula>79</formula>
    </cfRule>
    <cfRule type="cellIs" dxfId="7945" priority="712" stopIfTrue="1" operator="between">
      <formula>13.1</formula>
      <formula>34</formula>
    </cfRule>
    <cfRule type="cellIs" dxfId="7944" priority="713" stopIfTrue="1" operator="between">
      <formula>5.1</formula>
      <formula>13</formula>
    </cfRule>
    <cfRule type="cellIs" dxfId="7943" priority="714" stopIfTrue="1" operator="between">
      <formula>0</formula>
      <formula>5</formula>
    </cfRule>
    <cfRule type="containsBlanks" dxfId="7942" priority="715" stopIfTrue="1">
      <formula>LEN(TRIM(L349))=0</formula>
    </cfRule>
  </conditionalFormatting>
  <conditionalFormatting sqref="E367:G367 I367:P367">
    <cfRule type="containsBlanks" dxfId="7941" priority="702" stopIfTrue="1">
      <formula>LEN(TRIM(E367))=0</formula>
    </cfRule>
    <cfRule type="cellIs" dxfId="7940" priority="703" stopIfTrue="1" operator="between">
      <formula>80.1</formula>
      <formula>100</formula>
    </cfRule>
    <cfRule type="cellIs" dxfId="7939" priority="704" stopIfTrue="1" operator="between">
      <formula>35.1</formula>
      <formula>80</formula>
    </cfRule>
    <cfRule type="cellIs" dxfId="7938" priority="705" stopIfTrue="1" operator="between">
      <formula>14.1</formula>
      <formula>35</formula>
    </cfRule>
    <cfRule type="cellIs" dxfId="7937" priority="706" stopIfTrue="1" operator="between">
      <formula>5.1</formula>
      <formula>14</formula>
    </cfRule>
    <cfRule type="cellIs" dxfId="7936" priority="707" stopIfTrue="1" operator="between">
      <formula>0</formula>
      <formula>5</formula>
    </cfRule>
    <cfRule type="containsBlanks" dxfId="7935" priority="708" stopIfTrue="1">
      <formula>LEN(TRIM(E367))=0</formula>
    </cfRule>
  </conditionalFormatting>
  <conditionalFormatting sqref="H367">
    <cfRule type="containsBlanks" dxfId="7934" priority="695" stopIfTrue="1">
      <formula>LEN(TRIM(H367))=0</formula>
    </cfRule>
    <cfRule type="cellIs" dxfId="7933" priority="696" stopIfTrue="1" operator="between">
      <formula>79.1</formula>
      <formula>100</formula>
    </cfRule>
    <cfRule type="cellIs" dxfId="7932" priority="697" stopIfTrue="1" operator="between">
      <formula>34.1</formula>
      <formula>79</formula>
    </cfRule>
    <cfRule type="cellIs" dxfId="7931" priority="698" stopIfTrue="1" operator="between">
      <formula>13.1</formula>
      <formula>34</formula>
    </cfRule>
    <cfRule type="cellIs" dxfId="7930" priority="699" stopIfTrue="1" operator="between">
      <formula>5.1</formula>
      <formula>13</formula>
    </cfRule>
    <cfRule type="cellIs" dxfId="7929" priority="700" stopIfTrue="1" operator="between">
      <formula>0</formula>
      <formula>5</formula>
    </cfRule>
    <cfRule type="containsBlanks" dxfId="7928" priority="701" stopIfTrue="1">
      <formula>LEN(TRIM(H367))=0</formula>
    </cfRule>
  </conditionalFormatting>
  <conditionalFormatting sqref="E348 G348:P348">
    <cfRule type="containsBlanks" dxfId="7927" priority="688" stopIfTrue="1">
      <formula>LEN(TRIM(E348))=0</formula>
    </cfRule>
    <cfRule type="cellIs" dxfId="7926" priority="689" stopIfTrue="1" operator="between">
      <formula>80.1</formula>
      <formula>100</formula>
    </cfRule>
    <cfRule type="cellIs" dxfId="7925" priority="690" stopIfTrue="1" operator="between">
      <formula>35.1</formula>
      <formula>80</formula>
    </cfRule>
    <cfRule type="cellIs" dxfId="7924" priority="691" stopIfTrue="1" operator="between">
      <formula>14.1</formula>
      <formula>35</formula>
    </cfRule>
    <cfRule type="cellIs" dxfId="7923" priority="692" stopIfTrue="1" operator="between">
      <formula>5.1</formula>
      <formula>14</formula>
    </cfRule>
    <cfRule type="cellIs" dxfId="7922" priority="693" stopIfTrue="1" operator="between">
      <formula>0</formula>
      <formula>5</formula>
    </cfRule>
    <cfRule type="containsBlanks" dxfId="7921" priority="694" stopIfTrue="1">
      <formula>LEN(TRIM(E348))=0</formula>
    </cfRule>
  </conditionalFormatting>
  <conditionalFormatting sqref="F348">
    <cfRule type="containsBlanks" dxfId="7920" priority="681" stopIfTrue="1">
      <formula>LEN(TRIM(F348))=0</formula>
    </cfRule>
    <cfRule type="cellIs" dxfId="7919" priority="682" stopIfTrue="1" operator="between">
      <formula>79.1</formula>
      <formula>100</formula>
    </cfRule>
    <cfRule type="cellIs" dxfId="7918" priority="683" stopIfTrue="1" operator="between">
      <formula>34.1</formula>
      <formula>79</formula>
    </cfRule>
    <cfRule type="cellIs" dxfId="7917" priority="684" stopIfTrue="1" operator="between">
      <formula>13.1</formula>
      <formula>34</formula>
    </cfRule>
    <cfRule type="cellIs" dxfId="7916" priority="685" stopIfTrue="1" operator="between">
      <formula>5.1</formula>
      <formula>13</formula>
    </cfRule>
    <cfRule type="cellIs" dxfId="7915" priority="686" stopIfTrue="1" operator="between">
      <formula>0</formula>
      <formula>5</formula>
    </cfRule>
    <cfRule type="containsBlanks" dxfId="7914" priority="687" stopIfTrue="1">
      <formula>LEN(TRIM(F348))=0</formula>
    </cfRule>
  </conditionalFormatting>
  <conditionalFormatting sqref="E352:G352 J352:P352">
    <cfRule type="containsBlanks" dxfId="7913" priority="674" stopIfTrue="1">
      <formula>LEN(TRIM(E352))=0</formula>
    </cfRule>
    <cfRule type="cellIs" dxfId="7912" priority="675" stopIfTrue="1" operator="between">
      <formula>80.1</formula>
      <formula>100</formula>
    </cfRule>
    <cfRule type="cellIs" dxfId="7911" priority="676" stopIfTrue="1" operator="between">
      <formula>35.1</formula>
      <formula>80</formula>
    </cfRule>
    <cfRule type="cellIs" dxfId="7910" priority="677" stopIfTrue="1" operator="between">
      <formula>14.1</formula>
      <formula>35</formula>
    </cfRule>
    <cfRule type="cellIs" dxfId="7909" priority="678" stopIfTrue="1" operator="between">
      <formula>5.1</formula>
      <formula>14</formula>
    </cfRule>
    <cfRule type="cellIs" dxfId="7908" priority="679" stopIfTrue="1" operator="between">
      <formula>0</formula>
      <formula>5</formula>
    </cfRule>
    <cfRule type="containsBlanks" dxfId="7907" priority="680" stopIfTrue="1">
      <formula>LEN(TRIM(E352))=0</formula>
    </cfRule>
  </conditionalFormatting>
  <conditionalFormatting sqref="H352">
    <cfRule type="containsBlanks" dxfId="7906" priority="667" stopIfTrue="1">
      <formula>LEN(TRIM(H352))=0</formula>
    </cfRule>
    <cfRule type="cellIs" dxfId="7905" priority="668" stopIfTrue="1" operator="between">
      <formula>79.1</formula>
      <formula>100</formula>
    </cfRule>
    <cfRule type="cellIs" dxfId="7904" priority="669" stopIfTrue="1" operator="between">
      <formula>34.1</formula>
      <formula>79</formula>
    </cfRule>
    <cfRule type="cellIs" dxfId="7903" priority="670" stopIfTrue="1" operator="between">
      <formula>13.1</formula>
      <formula>34</formula>
    </cfRule>
    <cfRule type="cellIs" dxfId="7902" priority="671" stopIfTrue="1" operator="between">
      <formula>5.1</formula>
      <formula>13</formula>
    </cfRule>
    <cfRule type="cellIs" dxfId="7901" priority="672" stopIfTrue="1" operator="between">
      <formula>0</formula>
      <formula>5</formula>
    </cfRule>
    <cfRule type="containsBlanks" dxfId="7900" priority="673" stopIfTrue="1">
      <formula>LEN(TRIM(H352))=0</formula>
    </cfRule>
  </conditionalFormatting>
  <conditionalFormatting sqref="I352">
    <cfRule type="containsBlanks" dxfId="7899" priority="660" stopIfTrue="1">
      <formula>LEN(TRIM(I352))=0</formula>
    </cfRule>
    <cfRule type="cellIs" dxfId="7898" priority="661" stopIfTrue="1" operator="between">
      <formula>79.1</formula>
      <formula>100</formula>
    </cfRule>
    <cfRule type="cellIs" dxfId="7897" priority="662" stopIfTrue="1" operator="between">
      <formula>34.1</formula>
      <formula>79</formula>
    </cfRule>
    <cfRule type="cellIs" dxfId="7896" priority="663" stopIfTrue="1" operator="between">
      <formula>13.1</formula>
      <formula>34</formula>
    </cfRule>
    <cfRule type="cellIs" dxfId="7895" priority="664" stopIfTrue="1" operator="between">
      <formula>5.1</formula>
      <formula>13</formula>
    </cfRule>
    <cfRule type="cellIs" dxfId="7894" priority="665" stopIfTrue="1" operator="between">
      <formula>0</formula>
      <formula>5</formula>
    </cfRule>
    <cfRule type="containsBlanks" dxfId="7893" priority="666" stopIfTrue="1">
      <formula>LEN(TRIM(I352))=0</formula>
    </cfRule>
  </conditionalFormatting>
  <conditionalFormatting sqref="E355:M355 O355:P355">
    <cfRule type="containsBlanks" dxfId="7892" priority="653" stopIfTrue="1">
      <formula>LEN(TRIM(E355))=0</formula>
    </cfRule>
    <cfRule type="cellIs" dxfId="7891" priority="654" stopIfTrue="1" operator="between">
      <formula>80.1</formula>
      <formula>100</formula>
    </cfRule>
    <cfRule type="cellIs" dxfId="7890" priority="655" stopIfTrue="1" operator="between">
      <formula>35.1</formula>
      <formula>80</formula>
    </cfRule>
    <cfRule type="cellIs" dxfId="7889" priority="656" stopIfTrue="1" operator="between">
      <formula>14.1</formula>
      <formula>35</formula>
    </cfRule>
    <cfRule type="cellIs" dxfId="7888" priority="657" stopIfTrue="1" operator="between">
      <formula>5.1</formula>
      <formula>14</formula>
    </cfRule>
    <cfRule type="cellIs" dxfId="7887" priority="658" stopIfTrue="1" operator="between">
      <formula>0</formula>
      <formula>5</formula>
    </cfRule>
    <cfRule type="containsBlanks" dxfId="7886" priority="659" stopIfTrue="1">
      <formula>LEN(TRIM(E355))=0</formula>
    </cfRule>
  </conditionalFormatting>
  <conditionalFormatting sqref="N355">
    <cfRule type="containsBlanks" dxfId="7885" priority="646" stopIfTrue="1">
      <formula>LEN(TRIM(N355))=0</formula>
    </cfRule>
    <cfRule type="cellIs" dxfId="7884" priority="647" stopIfTrue="1" operator="between">
      <formula>79.1</formula>
      <formula>100</formula>
    </cfRule>
    <cfRule type="cellIs" dxfId="7883" priority="648" stopIfTrue="1" operator="between">
      <formula>34.1</formula>
      <formula>79</formula>
    </cfRule>
    <cfRule type="cellIs" dxfId="7882" priority="649" stopIfTrue="1" operator="between">
      <formula>13.1</formula>
      <formula>34</formula>
    </cfRule>
    <cfRule type="cellIs" dxfId="7881" priority="650" stopIfTrue="1" operator="between">
      <formula>5.1</formula>
      <formula>13</formula>
    </cfRule>
    <cfRule type="cellIs" dxfId="7880" priority="651" stopIfTrue="1" operator="between">
      <formula>0</formula>
      <formula>5</formula>
    </cfRule>
    <cfRule type="containsBlanks" dxfId="7879" priority="652" stopIfTrue="1">
      <formula>LEN(TRIM(N355))=0</formula>
    </cfRule>
  </conditionalFormatting>
  <conditionalFormatting sqref="E347:H347 N347:P347 J347:L347">
    <cfRule type="containsBlanks" dxfId="7878" priority="639" stopIfTrue="1">
      <formula>LEN(TRIM(E347))=0</formula>
    </cfRule>
    <cfRule type="cellIs" dxfId="7877" priority="640" stopIfTrue="1" operator="between">
      <formula>80.1</formula>
      <formula>100</formula>
    </cfRule>
    <cfRule type="cellIs" dxfId="7876" priority="641" stopIfTrue="1" operator="between">
      <formula>35.1</formula>
      <formula>80</formula>
    </cfRule>
    <cfRule type="cellIs" dxfId="7875" priority="642" stopIfTrue="1" operator="between">
      <formula>14.1</formula>
      <formula>35</formula>
    </cfRule>
    <cfRule type="cellIs" dxfId="7874" priority="643" stopIfTrue="1" operator="between">
      <formula>5.1</formula>
      <formula>14</formula>
    </cfRule>
    <cfRule type="cellIs" dxfId="7873" priority="644" stopIfTrue="1" operator="between">
      <formula>0</formula>
      <formula>5</formula>
    </cfRule>
    <cfRule type="containsBlanks" dxfId="7872" priority="645" stopIfTrue="1">
      <formula>LEN(TRIM(E347))=0</formula>
    </cfRule>
  </conditionalFormatting>
  <conditionalFormatting sqref="M347">
    <cfRule type="containsBlanks" dxfId="7871" priority="632" stopIfTrue="1">
      <formula>LEN(TRIM(M347))=0</formula>
    </cfRule>
    <cfRule type="cellIs" dxfId="7870" priority="633" stopIfTrue="1" operator="between">
      <formula>79.1</formula>
      <formula>100</formula>
    </cfRule>
    <cfRule type="cellIs" dxfId="7869" priority="634" stopIfTrue="1" operator="between">
      <formula>34.1</formula>
      <formula>79</formula>
    </cfRule>
    <cfRule type="cellIs" dxfId="7868" priority="635" stopIfTrue="1" operator="between">
      <formula>13.1</formula>
      <formula>34</formula>
    </cfRule>
    <cfRule type="cellIs" dxfId="7867" priority="636" stopIfTrue="1" operator="between">
      <formula>5.1</formula>
      <formula>13</formula>
    </cfRule>
    <cfRule type="cellIs" dxfId="7866" priority="637" stopIfTrue="1" operator="between">
      <formula>0</formula>
      <formula>5</formula>
    </cfRule>
    <cfRule type="containsBlanks" dxfId="7865" priority="638" stopIfTrue="1">
      <formula>LEN(TRIM(M347))=0</formula>
    </cfRule>
  </conditionalFormatting>
  <conditionalFormatting sqref="I347">
    <cfRule type="containsBlanks" dxfId="7864" priority="625" stopIfTrue="1">
      <formula>LEN(TRIM(I347))=0</formula>
    </cfRule>
    <cfRule type="cellIs" dxfId="7863" priority="626" stopIfTrue="1" operator="between">
      <formula>79.1</formula>
      <formula>100</formula>
    </cfRule>
    <cfRule type="cellIs" dxfId="7862" priority="627" stopIfTrue="1" operator="between">
      <formula>34.1</formula>
      <formula>79</formula>
    </cfRule>
    <cfRule type="cellIs" dxfId="7861" priority="628" stopIfTrue="1" operator="between">
      <formula>13.1</formula>
      <formula>34</formula>
    </cfRule>
    <cfRule type="cellIs" dxfId="7860" priority="629" stopIfTrue="1" operator="between">
      <formula>5.1</formula>
      <formula>13</formula>
    </cfRule>
    <cfRule type="cellIs" dxfId="7859" priority="630" stopIfTrue="1" operator="between">
      <formula>0</formula>
      <formula>5</formula>
    </cfRule>
    <cfRule type="containsBlanks" dxfId="7858" priority="631" stopIfTrue="1">
      <formula>LEN(TRIM(I347))=0</formula>
    </cfRule>
  </conditionalFormatting>
  <conditionalFormatting sqref="E351:H351 J351:P351">
    <cfRule type="containsBlanks" dxfId="7857" priority="618" stopIfTrue="1">
      <formula>LEN(TRIM(E351))=0</formula>
    </cfRule>
    <cfRule type="cellIs" dxfId="7856" priority="619" stopIfTrue="1" operator="between">
      <formula>80.1</formula>
      <formula>100</formula>
    </cfRule>
    <cfRule type="cellIs" dxfId="7855" priority="620" stopIfTrue="1" operator="between">
      <formula>35.1</formula>
      <formula>80</formula>
    </cfRule>
    <cfRule type="cellIs" dxfId="7854" priority="621" stopIfTrue="1" operator="between">
      <formula>14.1</formula>
      <formula>35</formula>
    </cfRule>
    <cfRule type="cellIs" dxfId="7853" priority="622" stopIfTrue="1" operator="between">
      <formula>5.1</formula>
      <formula>14</formula>
    </cfRule>
    <cfRule type="cellIs" dxfId="7852" priority="623" stopIfTrue="1" operator="between">
      <formula>0</formula>
      <formula>5</formula>
    </cfRule>
    <cfRule type="containsBlanks" dxfId="7851" priority="624" stopIfTrue="1">
      <formula>LEN(TRIM(E351))=0</formula>
    </cfRule>
  </conditionalFormatting>
  <conditionalFormatting sqref="I351">
    <cfRule type="containsBlanks" dxfId="7850" priority="611" stopIfTrue="1">
      <formula>LEN(TRIM(I351))=0</formula>
    </cfRule>
    <cfRule type="cellIs" dxfId="7849" priority="612" stopIfTrue="1" operator="between">
      <formula>79.1</formula>
      <formula>100</formula>
    </cfRule>
    <cfRule type="cellIs" dxfId="7848" priority="613" stopIfTrue="1" operator="between">
      <formula>34.1</formula>
      <formula>79</formula>
    </cfRule>
    <cfRule type="cellIs" dxfId="7847" priority="614" stopIfTrue="1" operator="between">
      <formula>13.1</formula>
      <formula>34</formula>
    </cfRule>
    <cfRule type="cellIs" dxfId="7846" priority="615" stopIfTrue="1" operator="between">
      <formula>5.1</formula>
      <formula>13</formula>
    </cfRule>
    <cfRule type="cellIs" dxfId="7845" priority="616" stopIfTrue="1" operator="between">
      <formula>0</formula>
      <formula>5</formula>
    </cfRule>
    <cfRule type="containsBlanks" dxfId="7844" priority="617" stopIfTrue="1">
      <formula>LEN(TRIM(I351))=0</formula>
    </cfRule>
  </conditionalFormatting>
  <conditionalFormatting sqref="E369:I369 K369:P369">
    <cfRule type="containsBlanks" dxfId="7843" priority="590" stopIfTrue="1">
      <formula>LEN(TRIM(E369))=0</formula>
    </cfRule>
    <cfRule type="cellIs" dxfId="7842" priority="591" stopIfTrue="1" operator="between">
      <formula>80.1</formula>
      <formula>100</formula>
    </cfRule>
    <cfRule type="cellIs" dxfId="7841" priority="592" stopIfTrue="1" operator="between">
      <formula>35.1</formula>
      <formula>80</formula>
    </cfRule>
    <cfRule type="cellIs" dxfId="7840" priority="593" stopIfTrue="1" operator="between">
      <formula>14.1</formula>
      <formula>35</formula>
    </cfRule>
    <cfRule type="cellIs" dxfId="7839" priority="594" stopIfTrue="1" operator="between">
      <formula>5.1</formula>
      <formula>14</formula>
    </cfRule>
    <cfRule type="cellIs" dxfId="7838" priority="595" stopIfTrue="1" operator="between">
      <formula>0</formula>
      <formula>5</formula>
    </cfRule>
    <cfRule type="containsBlanks" dxfId="7837" priority="596" stopIfTrue="1">
      <formula>LEN(TRIM(E369))=0</formula>
    </cfRule>
  </conditionalFormatting>
  <conditionalFormatting sqref="R370">
    <cfRule type="cellIs" dxfId="7836" priority="582" stopIfTrue="1" operator="equal">
      <formula>"NO"</formula>
    </cfRule>
  </conditionalFormatting>
  <conditionalFormatting sqref="S370">
    <cfRule type="cellIs" dxfId="7835" priority="581" stopIfTrue="1" operator="equal">
      <formula>"INVIABLE SANITARIAMENTE"</formula>
    </cfRule>
  </conditionalFormatting>
  <conditionalFormatting sqref="E370:F370 H370:Q370">
    <cfRule type="containsBlanks" dxfId="7834" priority="574" stopIfTrue="1">
      <formula>LEN(TRIM(E370))=0</formula>
    </cfRule>
    <cfRule type="cellIs" dxfId="7833" priority="575" stopIfTrue="1" operator="between">
      <formula>80.1</formula>
      <formula>100</formula>
    </cfRule>
    <cfRule type="cellIs" dxfId="7832" priority="576" stopIfTrue="1" operator="between">
      <formula>35.1</formula>
      <formula>80</formula>
    </cfRule>
    <cfRule type="cellIs" dxfId="7831" priority="577" stopIfTrue="1" operator="between">
      <formula>14.1</formula>
      <formula>35</formula>
    </cfRule>
    <cfRule type="cellIs" dxfId="7830" priority="578" stopIfTrue="1" operator="between">
      <formula>5.1</formula>
      <formula>14</formula>
    </cfRule>
    <cfRule type="cellIs" dxfId="7829" priority="579" stopIfTrue="1" operator="between">
      <formula>0</formula>
      <formula>5</formula>
    </cfRule>
    <cfRule type="containsBlanks" dxfId="7828" priority="580" stopIfTrue="1">
      <formula>LEN(TRIM(E370))=0</formula>
    </cfRule>
  </conditionalFormatting>
  <conditionalFormatting sqref="S370">
    <cfRule type="containsText" dxfId="7827" priority="569" stopIfTrue="1" operator="containsText" text="INVIABLE SANITARIAMENTE">
      <formula>NOT(ISERROR(SEARCH("INVIABLE SANITARIAMENTE",S370)))</formula>
    </cfRule>
    <cfRule type="containsText" dxfId="7826" priority="570" stopIfTrue="1" operator="containsText" text="ALTO">
      <formula>NOT(ISERROR(SEARCH("ALTO",S370)))</formula>
    </cfRule>
    <cfRule type="containsText" dxfId="7825" priority="571" stopIfTrue="1" operator="containsText" text="MEDIO">
      <formula>NOT(ISERROR(SEARCH("MEDIO",S370)))</formula>
    </cfRule>
    <cfRule type="containsText" dxfId="7824" priority="572" stopIfTrue="1" operator="containsText" text="BAJO">
      <formula>NOT(ISERROR(SEARCH("BAJO",S370)))</formula>
    </cfRule>
    <cfRule type="containsText" dxfId="7823" priority="573" stopIfTrue="1" operator="containsText" text="SIN RIESGO">
      <formula>NOT(ISERROR(SEARCH("SIN RIESGO",S370)))</formula>
    </cfRule>
  </conditionalFormatting>
  <conditionalFormatting sqref="S370">
    <cfRule type="containsText" dxfId="7822" priority="568" stopIfTrue="1" operator="containsText" text="SIN RIESGO">
      <formula>NOT(ISERROR(SEARCH("SIN RIESGO",S370)))</formula>
    </cfRule>
  </conditionalFormatting>
  <conditionalFormatting sqref="G370">
    <cfRule type="containsBlanks" dxfId="7821" priority="561" stopIfTrue="1">
      <formula>LEN(TRIM(G370))=0</formula>
    </cfRule>
    <cfRule type="cellIs" dxfId="7820" priority="562" stopIfTrue="1" operator="between">
      <formula>79.1</formula>
      <formula>100</formula>
    </cfRule>
    <cfRule type="cellIs" dxfId="7819" priority="563" stopIfTrue="1" operator="between">
      <formula>34.1</formula>
      <formula>79</formula>
    </cfRule>
    <cfRule type="cellIs" dxfId="7818" priority="564" stopIfTrue="1" operator="between">
      <formula>13.1</formula>
      <formula>34</formula>
    </cfRule>
    <cfRule type="cellIs" dxfId="7817" priority="565" stopIfTrue="1" operator="between">
      <formula>5.1</formula>
      <formula>13</formula>
    </cfRule>
    <cfRule type="cellIs" dxfId="7816" priority="566" stopIfTrue="1" operator="between">
      <formula>0</formula>
      <formula>5</formula>
    </cfRule>
    <cfRule type="containsBlanks" dxfId="7815" priority="567" stopIfTrue="1">
      <formula>LEN(TRIM(G370))=0</formula>
    </cfRule>
  </conditionalFormatting>
  <conditionalFormatting sqref="E397:P404">
    <cfRule type="containsBlanks" dxfId="7814" priority="554" stopIfTrue="1">
      <formula>LEN(TRIM(E397))=0</formula>
    </cfRule>
    <cfRule type="cellIs" dxfId="7813" priority="555" stopIfTrue="1" operator="between">
      <formula>80.1</formula>
      <formula>100</formula>
    </cfRule>
    <cfRule type="cellIs" dxfId="7812" priority="556" stopIfTrue="1" operator="between">
      <formula>35.1</formula>
      <formula>80</formula>
    </cfRule>
    <cfRule type="cellIs" dxfId="7811" priority="557" stopIfTrue="1" operator="between">
      <formula>14.1</formula>
      <formula>35</formula>
    </cfRule>
    <cfRule type="cellIs" dxfId="7810" priority="558" stopIfTrue="1" operator="between">
      <formula>5.1</formula>
      <formula>14</formula>
    </cfRule>
    <cfRule type="cellIs" dxfId="7809" priority="559" stopIfTrue="1" operator="between">
      <formula>0</formula>
      <formula>5</formula>
    </cfRule>
    <cfRule type="containsBlanks" dxfId="7808" priority="560" stopIfTrue="1">
      <formula>LEN(TRIM(E397))=0</formula>
    </cfRule>
  </conditionalFormatting>
  <conditionalFormatting sqref="H414:P414 E414:F414 E406:P413">
    <cfRule type="containsBlanks" dxfId="7807" priority="547" stopIfTrue="1">
      <formula>LEN(TRIM(E406))=0</formula>
    </cfRule>
    <cfRule type="cellIs" dxfId="7806" priority="548" stopIfTrue="1" operator="between">
      <formula>80.1</formula>
      <formula>100</formula>
    </cfRule>
    <cfRule type="cellIs" dxfId="7805" priority="549" stopIfTrue="1" operator="between">
      <formula>35.1</formula>
      <formula>80</formula>
    </cfRule>
    <cfRule type="cellIs" dxfId="7804" priority="550" stopIfTrue="1" operator="between">
      <formula>14.1</formula>
      <formula>35</formula>
    </cfRule>
    <cfRule type="cellIs" dxfId="7803" priority="551" stopIfTrue="1" operator="between">
      <formula>5.1</formula>
      <formula>14</formula>
    </cfRule>
    <cfRule type="cellIs" dxfId="7802" priority="552" stopIfTrue="1" operator="between">
      <formula>0</formula>
      <formula>5</formula>
    </cfRule>
    <cfRule type="containsBlanks" dxfId="7801" priority="553" stopIfTrue="1">
      <formula>LEN(TRIM(E406))=0</formula>
    </cfRule>
  </conditionalFormatting>
  <conditionalFormatting sqref="H414:O414 E414:F414">
    <cfRule type="containsBlanks" dxfId="7800" priority="540" stopIfTrue="1">
      <formula>LEN(TRIM(E414))=0</formula>
    </cfRule>
    <cfRule type="cellIs" dxfId="7799" priority="541" stopIfTrue="1" operator="between">
      <formula>80.1</formula>
      <formula>100</formula>
    </cfRule>
    <cfRule type="cellIs" dxfId="7798" priority="542" stopIfTrue="1" operator="between">
      <formula>35.1</formula>
      <formula>80</formula>
    </cfRule>
    <cfRule type="cellIs" dxfId="7797" priority="543" stopIfTrue="1" operator="between">
      <formula>14.1</formula>
      <formula>35</formula>
    </cfRule>
    <cfRule type="cellIs" dxfId="7796" priority="544" stopIfTrue="1" operator="between">
      <formula>5.1</formula>
      <formula>14</formula>
    </cfRule>
    <cfRule type="cellIs" dxfId="7795" priority="545" stopIfTrue="1" operator="between">
      <formula>0</formula>
      <formula>5</formula>
    </cfRule>
    <cfRule type="containsBlanks" dxfId="7794" priority="546" stopIfTrue="1">
      <formula>LEN(TRIM(E414))=0</formula>
    </cfRule>
  </conditionalFormatting>
  <conditionalFormatting sqref="G414">
    <cfRule type="containsBlanks" dxfId="7793" priority="533" stopIfTrue="1">
      <formula>LEN(TRIM(G414))=0</formula>
    </cfRule>
    <cfRule type="cellIs" dxfId="7792" priority="534" stopIfTrue="1" operator="between">
      <formula>80.1</formula>
      <formula>100</formula>
    </cfRule>
    <cfRule type="cellIs" dxfId="7791" priority="535" stopIfTrue="1" operator="between">
      <formula>35.1</formula>
      <formula>80</formula>
    </cfRule>
    <cfRule type="cellIs" dxfId="7790" priority="536" stopIfTrue="1" operator="between">
      <formula>14.1</formula>
      <formula>35</formula>
    </cfRule>
    <cfRule type="cellIs" dxfId="7789" priority="537" stopIfTrue="1" operator="between">
      <formula>5.1</formula>
      <formula>14</formula>
    </cfRule>
    <cfRule type="cellIs" dxfId="7788" priority="538" stopIfTrue="1" operator="between">
      <formula>0</formula>
      <formula>5</formula>
    </cfRule>
    <cfRule type="containsBlanks" dxfId="7787" priority="539" stopIfTrue="1">
      <formula>LEN(TRIM(G414))=0</formula>
    </cfRule>
  </conditionalFormatting>
  <conditionalFormatting sqref="E417:P424">
    <cfRule type="containsBlanks" dxfId="7786" priority="526" stopIfTrue="1">
      <formula>LEN(TRIM(E417))=0</formula>
    </cfRule>
    <cfRule type="cellIs" dxfId="7785" priority="527" stopIfTrue="1" operator="between">
      <formula>80.1</formula>
      <formula>100</formula>
    </cfRule>
    <cfRule type="cellIs" dxfId="7784" priority="528" stopIfTrue="1" operator="between">
      <formula>35.1</formula>
      <formula>80</formula>
    </cfRule>
    <cfRule type="cellIs" dxfId="7783" priority="529" stopIfTrue="1" operator="between">
      <formula>14.1</formula>
      <formula>35</formula>
    </cfRule>
    <cfRule type="cellIs" dxfId="7782" priority="530" stopIfTrue="1" operator="between">
      <formula>5.1</formula>
      <formula>14</formula>
    </cfRule>
    <cfRule type="cellIs" dxfId="7781" priority="531" stopIfTrue="1" operator="between">
      <formula>0</formula>
      <formula>5</formula>
    </cfRule>
    <cfRule type="containsBlanks" dxfId="7780" priority="532" stopIfTrue="1">
      <formula>LEN(TRIM(E417))=0</formula>
    </cfRule>
  </conditionalFormatting>
  <conditionalFormatting sqref="E405:P405">
    <cfRule type="containsBlanks" dxfId="7779" priority="519" stopIfTrue="1">
      <formula>LEN(TRIM(E405))=0</formula>
    </cfRule>
    <cfRule type="cellIs" dxfId="7778" priority="520" stopIfTrue="1" operator="between">
      <formula>80.1</formula>
      <formula>100</formula>
    </cfRule>
    <cfRule type="cellIs" dxfId="7777" priority="521" stopIfTrue="1" operator="between">
      <formula>35.1</formula>
      <formula>80</formula>
    </cfRule>
    <cfRule type="cellIs" dxfId="7776" priority="522" stopIfTrue="1" operator="between">
      <formula>14.1</formula>
      <formula>35</formula>
    </cfRule>
    <cfRule type="cellIs" dxfId="7775" priority="523" stopIfTrue="1" operator="between">
      <formula>5.1</formula>
      <formula>14</formula>
    </cfRule>
    <cfRule type="cellIs" dxfId="7774" priority="524" stopIfTrue="1" operator="between">
      <formula>0</formula>
      <formula>5</formula>
    </cfRule>
    <cfRule type="containsBlanks" dxfId="7773" priority="525" stopIfTrue="1">
      <formula>LEN(TRIM(E405))=0</formula>
    </cfRule>
  </conditionalFormatting>
  <conditionalFormatting sqref="E415:P415">
    <cfRule type="containsBlanks" dxfId="7772" priority="512" stopIfTrue="1">
      <formula>LEN(TRIM(E415))=0</formula>
    </cfRule>
    <cfRule type="cellIs" dxfId="7771" priority="513" stopIfTrue="1" operator="between">
      <formula>80.1</formula>
      <formula>100</formula>
    </cfRule>
    <cfRule type="cellIs" dxfId="7770" priority="514" stopIfTrue="1" operator="between">
      <formula>35.1</formula>
      <formula>80</formula>
    </cfRule>
    <cfRule type="cellIs" dxfId="7769" priority="515" stopIfTrue="1" operator="between">
      <formula>14.1</formula>
      <formula>35</formula>
    </cfRule>
    <cfRule type="cellIs" dxfId="7768" priority="516" stopIfTrue="1" operator="between">
      <formula>5.1</formula>
      <formula>14</formula>
    </cfRule>
    <cfRule type="cellIs" dxfId="7767" priority="517" stopIfTrue="1" operator="between">
      <formula>0</formula>
      <formula>5</formula>
    </cfRule>
    <cfRule type="containsBlanks" dxfId="7766" priority="518" stopIfTrue="1">
      <formula>LEN(TRIM(E415))=0</formula>
    </cfRule>
  </conditionalFormatting>
  <conditionalFormatting sqref="E462:Q488 Q489:Q503">
    <cfRule type="containsBlanks" dxfId="7765" priority="505" stopIfTrue="1">
      <formula>LEN(TRIM(E462))=0</formula>
    </cfRule>
    <cfRule type="cellIs" dxfId="7764" priority="506" stopIfTrue="1" operator="between">
      <formula>80.1</formula>
      <formula>100</formula>
    </cfRule>
    <cfRule type="cellIs" dxfId="7763" priority="507" stopIfTrue="1" operator="between">
      <formula>35.1</formula>
      <formula>80</formula>
    </cfRule>
    <cfRule type="cellIs" dxfId="7762" priority="508" stopIfTrue="1" operator="between">
      <formula>14.1</formula>
      <formula>35</formula>
    </cfRule>
    <cfRule type="cellIs" dxfId="7761" priority="509" stopIfTrue="1" operator="between">
      <formula>5.1</formula>
      <formula>14</formula>
    </cfRule>
    <cfRule type="cellIs" dxfId="7760" priority="510" stopIfTrue="1" operator="between">
      <formula>0</formula>
      <formula>5</formula>
    </cfRule>
    <cfRule type="containsBlanks" dxfId="7759" priority="511" stopIfTrue="1">
      <formula>LEN(TRIM(E462))=0</formula>
    </cfRule>
  </conditionalFormatting>
  <conditionalFormatting sqref="E489:F489 E490 G490:P490 H489:P489">
    <cfRule type="containsBlanks" dxfId="7758" priority="498" stopIfTrue="1">
      <formula>LEN(TRIM(E489))=0</formula>
    </cfRule>
    <cfRule type="cellIs" dxfId="7757" priority="499" stopIfTrue="1" operator="between">
      <formula>80.1</formula>
      <formula>100</formula>
    </cfRule>
    <cfRule type="cellIs" dxfId="7756" priority="500" stopIfTrue="1" operator="between">
      <formula>35.1</formula>
      <formula>80</formula>
    </cfRule>
    <cfRule type="cellIs" dxfId="7755" priority="501" stopIfTrue="1" operator="between">
      <formula>14.1</formula>
      <formula>35</formula>
    </cfRule>
    <cfRule type="cellIs" dxfId="7754" priority="502" stopIfTrue="1" operator="between">
      <formula>5.1</formula>
      <formula>14</formula>
    </cfRule>
    <cfRule type="cellIs" dxfId="7753" priority="503" stopIfTrue="1" operator="between">
      <formula>0</formula>
      <formula>5</formula>
    </cfRule>
    <cfRule type="containsBlanks" dxfId="7752" priority="504" stopIfTrue="1">
      <formula>LEN(TRIM(E489))=0</formula>
    </cfRule>
  </conditionalFormatting>
  <conditionalFormatting sqref="F490">
    <cfRule type="containsBlanks" dxfId="7751" priority="491" stopIfTrue="1">
      <formula>LEN(TRIM(F490))=0</formula>
    </cfRule>
    <cfRule type="cellIs" dxfId="7750" priority="492" stopIfTrue="1" operator="between">
      <formula>80.1</formula>
      <formula>100</formula>
    </cfRule>
    <cfRule type="cellIs" dxfId="7749" priority="493" stopIfTrue="1" operator="between">
      <formula>35.1</formula>
      <formula>80</formula>
    </cfRule>
    <cfRule type="cellIs" dxfId="7748" priority="494" stopIfTrue="1" operator="between">
      <formula>14.1</formula>
      <formula>35</formula>
    </cfRule>
    <cfRule type="cellIs" dxfId="7747" priority="495" stopIfTrue="1" operator="between">
      <formula>5.1</formula>
      <formula>14</formula>
    </cfRule>
    <cfRule type="cellIs" dxfId="7746" priority="496" stopIfTrue="1" operator="between">
      <formula>0</formula>
      <formula>5</formula>
    </cfRule>
    <cfRule type="containsBlanks" dxfId="7745" priority="497" stopIfTrue="1">
      <formula>LEN(TRIM(F490))=0</formula>
    </cfRule>
  </conditionalFormatting>
  <conditionalFormatting sqref="G489">
    <cfRule type="containsBlanks" dxfId="7744" priority="484" stopIfTrue="1">
      <formula>LEN(TRIM(G489))=0</formula>
    </cfRule>
    <cfRule type="cellIs" dxfId="7743" priority="485" stopIfTrue="1" operator="between">
      <formula>80.1</formula>
      <formula>100</formula>
    </cfRule>
    <cfRule type="cellIs" dxfId="7742" priority="486" stopIfTrue="1" operator="between">
      <formula>35.1</formula>
      <formula>80</formula>
    </cfRule>
    <cfRule type="cellIs" dxfId="7741" priority="487" stopIfTrue="1" operator="between">
      <formula>14.1</formula>
      <formula>35</formula>
    </cfRule>
    <cfRule type="cellIs" dxfId="7740" priority="488" stopIfTrue="1" operator="between">
      <formula>5.1</formula>
      <formula>14</formula>
    </cfRule>
    <cfRule type="cellIs" dxfId="7739" priority="489" stopIfTrue="1" operator="between">
      <formula>0</formula>
      <formula>5</formula>
    </cfRule>
    <cfRule type="containsBlanks" dxfId="7738" priority="490" stopIfTrue="1">
      <formula>LEN(TRIM(G489))=0</formula>
    </cfRule>
  </conditionalFormatting>
  <conditionalFormatting sqref="E503:F503 H503:P503">
    <cfRule type="containsBlanks" dxfId="7737" priority="477" stopIfTrue="1">
      <formula>LEN(TRIM(E503))=0</formula>
    </cfRule>
    <cfRule type="cellIs" dxfId="7736" priority="478" stopIfTrue="1" operator="between">
      <formula>80.1</formula>
      <formula>100</formula>
    </cfRule>
    <cfRule type="cellIs" dxfId="7735" priority="479" stopIfTrue="1" operator="between">
      <formula>35.1</formula>
      <formula>80</formula>
    </cfRule>
    <cfRule type="cellIs" dxfId="7734" priority="480" stopIfTrue="1" operator="between">
      <formula>14.1</formula>
      <formula>35</formula>
    </cfRule>
    <cfRule type="cellIs" dxfId="7733" priority="481" stopIfTrue="1" operator="between">
      <formula>5.1</formula>
      <formula>14</formula>
    </cfRule>
    <cfRule type="cellIs" dxfId="7732" priority="482" stopIfTrue="1" operator="between">
      <formula>0</formula>
      <formula>5</formula>
    </cfRule>
    <cfRule type="containsBlanks" dxfId="7731" priority="483" stopIfTrue="1">
      <formula>LEN(TRIM(E503))=0</formula>
    </cfRule>
  </conditionalFormatting>
  <conditionalFormatting sqref="G503">
    <cfRule type="containsBlanks" dxfId="7730" priority="470" stopIfTrue="1">
      <formula>LEN(TRIM(G503))=0</formula>
    </cfRule>
    <cfRule type="cellIs" dxfId="7729" priority="471" stopIfTrue="1" operator="between">
      <formula>80.1</formula>
      <formula>100</formula>
    </cfRule>
    <cfRule type="cellIs" dxfId="7728" priority="472" stopIfTrue="1" operator="between">
      <formula>35.1</formula>
      <formula>80</formula>
    </cfRule>
    <cfRule type="cellIs" dxfId="7727" priority="473" stopIfTrue="1" operator="between">
      <formula>14.1</formula>
      <formula>35</formula>
    </cfRule>
    <cfRule type="cellIs" dxfId="7726" priority="474" stopIfTrue="1" operator="between">
      <formula>5.1</formula>
      <formula>14</formula>
    </cfRule>
    <cfRule type="cellIs" dxfId="7725" priority="475" stopIfTrue="1" operator="between">
      <formula>0</formula>
      <formula>5</formula>
    </cfRule>
    <cfRule type="containsBlanks" dxfId="7724" priority="476" stopIfTrue="1">
      <formula>LEN(TRIM(G503))=0</formula>
    </cfRule>
  </conditionalFormatting>
  <conditionalFormatting sqref="E492 G492:P492">
    <cfRule type="containsBlanks" dxfId="7723" priority="463" stopIfTrue="1">
      <formula>LEN(TRIM(E492))=0</formula>
    </cfRule>
    <cfRule type="cellIs" dxfId="7722" priority="464" stopIfTrue="1" operator="between">
      <formula>80.1</formula>
      <formula>100</formula>
    </cfRule>
    <cfRule type="cellIs" dxfId="7721" priority="465" stopIfTrue="1" operator="between">
      <formula>35.1</formula>
      <formula>80</formula>
    </cfRule>
    <cfRule type="cellIs" dxfId="7720" priority="466" stopIfTrue="1" operator="between">
      <formula>14.1</formula>
      <formula>35</formula>
    </cfRule>
    <cfRule type="cellIs" dxfId="7719" priority="467" stopIfTrue="1" operator="between">
      <formula>5.1</formula>
      <formula>14</formula>
    </cfRule>
    <cfRule type="cellIs" dxfId="7718" priority="468" stopIfTrue="1" operator="between">
      <formula>0</formula>
      <formula>5</formula>
    </cfRule>
    <cfRule type="containsBlanks" dxfId="7717" priority="469" stopIfTrue="1">
      <formula>LEN(TRIM(E492))=0</formula>
    </cfRule>
  </conditionalFormatting>
  <conditionalFormatting sqref="F492">
    <cfRule type="containsBlanks" dxfId="7716" priority="456" stopIfTrue="1">
      <formula>LEN(TRIM(F492))=0</formula>
    </cfRule>
    <cfRule type="cellIs" dxfId="7715" priority="457" stopIfTrue="1" operator="between">
      <formula>80.1</formula>
      <formula>100</formula>
    </cfRule>
    <cfRule type="cellIs" dxfId="7714" priority="458" stopIfTrue="1" operator="between">
      <formula>35.1</formula>
      <formula>80</formula>
    </cfRule>
    <cfRule type="cellIs" dxfId="7713" priority="459" stopIfTrue="1" operator="between">
      <formula>14.1</formula>
      <formula>35</formula>
    </cfRule>
    <cfRule type="cellIs" dxfId="7712" priority="460" stopIfTrue="1" operator="between">
      <formula>5.1</formula>
      <formula>14</formula>
    </cfRule>
    <cfRule type="cellIs" dxfId="7711" priority="461" stopIfTrue="1" operator="between">
      <formula>0</formula>
      <formula>5</formula>
    </cfRule>
    <cfRule type="containsBlanks" dxfId="7710" priority="462" stopIfTrue="1">
      <formula>LEN(TRIM(F492))=0</formula>
    </cfRule>
  </conditionalFormatting>
  <conditionalFormatting sqref="E493:M493 O493:P493">
    <cfRule type="containsBlanks" dxfId="7709" priority="449" stopIfTrue="1">
      <formula>LEN(TRIM(E493))=0</formula>
    </cfRule>
    <cfRule type="cellIs" dxfId="7708" priority="450" stopIfTrue="1" operator="between">
      <formula>80.1</formula>
      <formula>100</formula>
    </cfRule>
    <cfRule type="cellIs" dxfId="7707" priority="451" stopIfTrue="1" operator="between">
      <formula>35.1</formula>
      <formula>80</formula>
    </cfRule>
    <cfRule type="cellIs" dxfId="7706" priority="452" stopIfTrue="1" operator="between">
      <formula>14.1</formula>
      <formula>35</formula>
    </cfRule>
    <cfRule type="cellIs" dxfId="7705" priority="453" stopIfTrue="1" operator="between">
      <formula>5.1</formula>
      <formula>14</formula>
    </cfRule>
    <cfRule type="cellIs" dxfId="7704" priority="454" stopIfTrue="1" operator="between">
      <formula>0</formula>
      <formula>5</formula>
    </cfRule>
    <cfRule type="containsBlanks" dxfId="7703" priority="455" stopIfTrue="1">
      <formula>LEN(TRIM(E493))=0</formula>
    </cfRule>
  </conditionalFormatting>
  <conditionalFormatting sqref="N493">
    <cfRule type="containsBlanks" dxfId="7702" priority="442" stopIfTrue="1">
      <formula>LEN(TRIM(N493))=0</formula>
    </cfRule>
    <cfRule type="cellIs" dxfId="7701" priority="443" stopIfTrue="1" operator="between">
      <formula>80.1</formula>
      <formula>100</formula>
    </cfRule>
    <cfRule type="cellIs" dxfId="7700" priority="444" stopIfTrue="1" operator="between">
      <formula>35.1</formula>
      <formula>80</formula>
    </cfRule>
    <cfRule type="cellIs" dxfId="7699" priority="445" stopIfTrue="1" operator="between">
      <formula>14.1</formula>
      <formula>35</formula>
    </cfRule>
    <cfRule type="cellIs" dxfId="7698" priority="446" stopIfTrue="1" operator="between">
      <formula>5.1</formula>
      <formula>14</formula>
    </cfRule>
    <cfRule type="cellIs" dxfId="7697" priority="447" stopIfTrue="1" operator="between">
      <formula>0</formula>
      <formula>5</formula>
    </cfRule>
    <cfRule type="containsBlanks" dxfId="7696" priority="448" stopIfTrue="1">
      <formula>LEN(TRIM(N493))=0</formula>
    </cfRule>
  </conditionalFormatting>
  <conditionalFormatting sqref="E491:M491 O491:P491">
    <cfRule type="containsBlanks" dxfId="7695" priority="435" stopIfTrue="1">
      <formula>LEN(TRIM(E491))=0</formula>
    </cfRule>
    <cfRule type="cellIs" dxfId="7694" priority="436" stopIfTrue="1" operator="between">
      <formula>80.1</formula>
      <formula>100</formula>
    </cfRule>
    <cfRule type="cellIs" dxfId="7693" priority="437" stopIfTrue="1" operator="between">
      <formula>35.1</formula>
      <formula>80</formula>
    </cfRule>
    <cfRule type="cellIs" dxfId="7692" priority="438" stopIfTrue="1" operator="between">
      <formula>14.1</formula>
      <formula>35</formula>
    </cfRule>
    <cfRule type="cellIs" dxfId="7691" priority="439" stopIfTrue="1" operator="between">
      <formula>5.1</formula>
      <formula>14</formula>
    </cfRule>
    <cfRule type="cellIs" dxfId="7690" priority="440" stopIfTrue="1" operator="between">
      <formula>0</formula>
      <formula>5</formula>
    </cfRule>
    <cfRule type="containsBlanks" dxfId="7689" priority="441" stopIfTrue="1">
      <formula>LEN(TRIM(E491))=0</formula>
    </cfRule>
  </conditionalFormatting>
  <conditionalFormatting sqref="N491">
    <cfRule type="containsBlanks" dxfId="7688" priority="428" stopIfTrue="1">
      <formula>LEN(TRIM(N491))=0</formula>
    </cfRule>
    <cfRule type="cellIs" dxfId="7687" priority="429" stopIfTrue="1" operator="between">
      <formula>80.1</formula>
      <formula>100</formula>
    </cfRule>
    <cfRule type="cellIs" dxfId="7686" priority="430" stopIfTrue="1" operator="between">
      <formula>35.1</formula>
      <formula>80</formula>
    </cfRule>
    <cfRule type="cellIs" dxfId="7685" priority="431" stopIfTrue="1" operator="between">
      <formula>14.1</formula>
      <formula>35</formula>
    </cfRule>
    <cfRule type="cellIs" dxfId="7684" priority="432" stopIfTrue="1" operator="between">
      <formula>5.1</formula>
      <formula>14</formula>
    </cfRule>
    <cfRule type="cellIs" dxfId="7683" priority="433" stopIfTrue="1" operator="between">
      <formula>0</formula>
      <formula>5</formula>
    </cfRule>
    <cfRule type="containsBlanks" dxfId="7682" priority="434" stopIfTrue="1">
      <formula>LEN(TRIM(N491))=0</formula>
    </cfRule>
  </conditionalFormatting>
  <conditionalFormatting sqref="E502 G502:P502">
    <cfRule type="containsBlanks" dxfId="7681" priority="421" stopIfTrue="1">
      <formula>LEN(TRIM(E502))=0</formula>
    </cfRule>
    <cfRule type="cellIs" dxfId="7680" priority="422" stopIfTrue="1" operator="between">
      <formula>80.1</formula>
      <formula>100</formula>
    </cfRule>
    <cfRule type="cellIs" dxfId="7679" priority="423" stopIfTrue="1" operator="between">
      <formula>35.1</formula>
      <formula>80</formula>
    </cfRule>
    <cfRule type="cellIs" dxfId="7678" priority="424" stopIfTrue="1" operator="between">
      <formula>14.1</formula>
      <formula>35</formula>
    </cfRule>
    <cfRule type="cellIs" dxfId="7677" priority="425" stopIfTrue="1" operator="between">
      <formula>5.1</formula>
      <formula>14</formula>
    </cfRule>
    <cfRule type="cellIs" dxfId="7676" priority="426" stopIfTrue="1" operator="between">
      <formula>0</formula>
      <formula>5</formula>
    </cfRule>
    <cfRule type="containsBlanks" dxfId="7675" priority="427" stopIfTrue="1">
      <formula>LEN(TRIM(E502))=0</formula>
    </cfRule>
  </conditionalFormatting>
  <conditionalFormatting sqref="F502">
    <cfRule type="containsBlanks" dxfId="7674" priority="414" stopIfTrue="1">
      <formula>LEN(TRIM(F502))=0</formula>
    </cfRule>
    <cfRule type="cellIs" dxfId="7673" priority="415" stopIfTrue="1" operator="between">
      <formula>80.1</formula>
      <formula>100</formula>
    </cfRule>
    <cfRule type="cellIs" dxfId="7672" priority="416" stopIfTrue="1" operator="between">
      <formula>35.1</formula>
      <formula>80</formula>
    </cfRule>
    <cfRule type="cellIs" dxfId="7671" priority="417" stopIfTrue="1" operator="between">
      <formula>14.1</formula>
      <formula>35</formula>
    </cfRule>
    <cfRule type="cellIs" dxfId="7670" priority="418" stopIfTrue="1" operator="between">
      <formula>5.1</formula>
      <formula>14</formula>
    </cfRule>
    <cfRule type="cellIs" dxfId="7669" priority="419" stopIfTrue="1" operator="between">
      <formula>0</formula>
      <formula>5</formula>
    </cfRule>
    <cfRule type="containsBlanks" dxfId="7668" priority="420" stopIfTrue="1">
      <formula>LEN(TRIM(F502))=0</formula>
    </cfRule>
  </conditionalFormatting>
  <conditionalFormatting sqref="E494:L494 N494:P494">
    <cfRule type="containsBlanks" dxfId="7667" priority="407" stopIfTrue="1">
      <formula>LEN(TRIM(E494))=0</formula>
    </cfRule>
    <cfRule type="cellIs" dxfId="7666" priority="408" stopIfTrue="1" operator="between">
      <formula>80.1</formula>
      <formula>100</formula>
    </cfRule>
    <cfRule type="cellIs" dxfId="7665" priority="409" stopIfTrue="1" operator="between">
      <formula>35.1</formula>
      <formula>80</formula>
    </cfRule>
    <cfRule type="cellIs" dxfId="7664" priority="410" stopIfTrue="1" operator="between">
      <formula>14.1</formula>
      <formula>35</formula>
    </cfRule>
    <cfRule type="cellIs" dxfId="7663" priority="411" stopIfTrue="1" operator="between">
      <formula>5.1</formula>
      <formula>14</formula>
    </cfRule>
    <cfRule type="cellIs" dxfId="7662" priority="412" stopIfTrue="1" operator="between">
      <formula>0</formula>
      <formula>5</formula>
    </cfRule>
    <cfRule type="containsBlanks" dxfId="7661" priority="413" stopIfTrue="1">
      <formula>LEN(TRIM(E494))=0</formula>
    </cfRule>
  </conditionalFormatting>
  <conditionalFormatting sqref="M494">
    <cfRule type="containsBlanks" dxfId="7660" priority="400" stopIfTrue="1">
      <formula>LEN(TRIM(M494))=0</formula>
    </cfRule>
    <cfRule type="cellIs" dxfId="7659" priority="401" stopIfTrue="1" operator="between">
      <formula>80.1</formula>
      <formula>100</formula>
    </cfRule>
    <cfRule type="cellIs" dxfId="7658" priority="402" stopIfTrue="1" operator="between">
      <formula>35.1</formula>
      <formula>80</formula>
    </cfRule>
    <cfRule type="cellIs" dxfId="7657" priority="403" stopIfTrue="1" operator="between">
      <formula>14.1</formula>
      <formula>35</formula>
    </cfRule>
    <cfRule type="cellIs" dxfId="7656" priority="404" stopIfTrue="1" operator="between">
      <formula>5.1</formula>
      <formula>14</formula>
    </cfRule>
    <cfRule type="cellIs" dxfId="7655" priority="405" stopIfTrue="1" operator="between">
      <formula>0</formula>
      <formula>5</formula>
    </cfRule>
    <cfRule type="containsBlanks" dxfId="7654" priority="406" stopIfTrue="1">
      <formula>LEN(TRIM(M494))=0</formula>
    </cfRule>
  </conditionalFormatting>
  <conditionalFormatting sqref="E499:M499 O499:P499">
    <cfRule type="containsBlanks" dxfId="7653" priority="393" stopIfTrue="1">
      <formula>LEN(TRIM(E499))=0</formula>
    </cfRule>
    <cfRule type="cellIs" dxfId="7652" priority="394" stopIfTrue="1" operator="between">
      <formula>80.1</formula>
      <formula>100</formula>
    </cfRule>
    <cfRule type="cellIs" dxfId="7651" priority="395" stopIfTrue="1" operator="between">
      <formula>35.1</formula>
      <formula>80</formula>
    </cfRule>
    <cfRule type="cellIs" dxfId="7650" priority="396" stopIfTrue="1" operator="between">
      <formula>14.1</formula>
      <formula>35</formula>
    </cfRule>
    <cfRule type="cellIs" dxfId="7649" priority="397" stopIfTrue="1" operator="between">
      <formula>5.1</formula>
      <formula>14</formula>
    </cfRule>
    <cfRule type="cellIs" dxfId="7648" priority="398" stopIfTrue="1" operator="between">
      <formula>0</formula>
      <formula>5</formula>
    </cfRule>
    <cfRule type="containsBlanks" dxfId="7647" priority="399" stopIfTrue="1">
      <formula>LEN(TRIM(E499))=0</formula>
    </cfRule>
  </conditionalFormatting>
  <conditionalFormatting sqref="N499">
    <cfRule type="containsBlanks" dxfId="7646" priority="386" stopIfTrue="1">
      <formula>LEN(TRIM(N499))=0</formula>
    </cfRule>
    <cfRule type="cellIs" dxfId="7645" priority="387" stopIfTrue="1" operator="between">
      <formula>80.1</formula>
      <formula>100</formula>
    </cfRule>
    <cfRule type="cellIs" dxfId="7644" priority="388" stopIfTrue="1" operator="between">
      <formula>35.1</formula>
      <formula>80</formula>
    </cfRule>
    <cfRule type="cellIs" dxfId="7643" priority="389" stopIfTrue="1" operator="between">
      <formula>14.1</formula>
      <formula>35</formula>
    </cfRule>
    <cfRule type="cellIs" dxfId="7642" priority="390" stopIfTrue="1" operator="between">
      <formula>5.1</formula>
      <formula>14</formula>
    </cfRule>
    <cfRule type="cellIs" dxfId="7641" priority="391" stopIfTrue="1" operator="between">
      <formula>0</formula>
      <formula>5</formula>
    </cfRule>
    <cfRule type="containsBlanks" dxfId="7640" priority="392" stopIfTrue="1">
      <formula>LEN(TRIM(N499))=0</formula>
    </cfRule>
  </conditionalFormatting>
  <conditionalFormatting sqref="E496 G496:P496">
    <cfRule type="containsBlanks" dxfId="7639" priority="379" stopIfTrue="1">
      <formula>LEN(TRIM(E496))=0</formula>
    </cfRule>
    <cfRule type="cellIs" dxfId="7638" priority="380" stopIfTrue="1" operator="between">
      <formula>80.1</formula>
      <formula>100</formula>
    </cfRule>
    <cfRule type="cellIs" dxfId="7637" priority="381" stopIfTrue="1" operator="between">
      <formula>35.1</formula>
      <formula>80</formula>
    </cfRule>
    <cfRule type="cellIs" dxfId="7636" priority="382" stopIfTrue="1" operator="between">
      <formula>14.1</formula>
      <formula>35</formula>
    </cfRule>
    <cfRule type="cellIs" dxfId="7635" priority="383" stopIfTrue="1" operator="between">
      <formula>5.1</formula>
      <formula>14</formula>
    </cfRule>
    <cfRule type="cellIs" dxfId="7634" priority="384" stopIfTrue="1" operator="between">
      <formula>0</formula>
      <formula>5</formula>
    </cfRule>
    <cfRule type="containsBlanks" dxfId="7633" priority="385" stopIfTrue="1">
      <formula>LEN(TRIM(E496))=0</formula>
    </cfRule>
  </conditionalFormatting>
  <conditionalFormatting sqref="F496">
    <cfRule type="containsBlanks" dxfId="7632" priority="372" stopIfTrue="1">
      <formula>LEN(TRIM(F496))=0</formula>
    </cfRule>
    <cfRule type="cellIs" dxfId="7631" priority="373" stopIfTrue="1" operator="between">
      <formula>80.1</formula>
      <formula>100</formula>
    </cfRule>
    <cfRule type="cellIs" dxfId="7630" priority="374" stopIfTrue="1" operator="between">
      <formula>35.1</formula>
      <formula>80</formula>
    </cfRule>
    <cfRule type="cellIs" dxfId="7629" priority="375" stopIfTrue="1" operator="between">
      <formula>14.1</formula>
      <formula>35</formula>
    </cfRule>
    <cfRule type="cellIs" dxfId="7628" priority="376" stopIfTrue="1" operator="between">
      <formula>5.1</formula>
      <formula>14</formula>
    </cfRule>
    <cfRule type="cellIs" dxfId="7627" priority="377" stopIfTrue="1" operator="between">
      <formula>0</formula>
      <formula>5</formula>
    </cfRule>
    <cfRule type="containsBlanks" dxfId="7626" priority="378" stopIfTrue="1">
      <formula>LEN(TRIM(F496))=0</formula>
    </cfRule>
  </conditionalFormatting>
  <conditionalFormatting sqref="E498:M498 O498:P498">
    <cfRule type="containsBlanks" dxfId="7625" priority="365" stopIfTrue="1">
      <formula>LEN(TRIM(E498))=0</formula>
    </cfRule>
    <cfRule type="cellIs" dxfId="7624" priority="366" stopIfTrue="1" operator="between">
      <formula>80.1</formula>
      <formula>100</formula>
    </cfRule>
    <cfRule type="cellIs" dxfId="7623" priority="367" stopIfTrue="1" operator="between">
      <formula>35.1</formula>
      <formula>80</formula>
    </cfRule>
    <cfRule type="cellIs" dxfId="7622" priority="368" stopIfTrue="1" operator="between">
      <formula>14.1</formula>
      <formula>35</formula>
    </cfRule>
    <cfRule type="cellIs" dxfId="7621" priority="369" stopIfTrue="1" operator="between">
      <formula>5.1</formula>
      <formula>14</formula>
    </cfRule>
    <cfRule type="cellIs" dxfId="7620" priority="370" stopIfTrue="1" operator="between">
      <formula>0</formula>
      <formula>5</formula>
    </cfRule>
    <cfRule type="containsBlanks" dxfId="7619" priority="371" stopIfTrue="1">
      <formula>LEN(TRIM(E498))=0</formula>
    </cfRule>
  </conditionalFormatting>
  <conditionalFormatting sqref="N498">
    <cfRule type="containsBlanks" dxfId="7618" priority="358" stopIfTrue="1">
      <formula>LEN(TRIM(N498))=0</formula>
    </cfRule>
    <cfRule type="cellIs" dxfId="7617" priority="359" stopIfTrue="1" operator="between">
      <formula>80.1</formula>
      <formula>100</formula>
    </cfRule>
    <cfRule type="cellIs" dxfId="7616" priority="360" stopIfTrue="1" operator="between">
      <formula>35.1</formula>
      <formula>80</formula>
    </cfRule>
    <cfRule type="cellIs" dxfId="7615" priority="361" stopIfTrue="1" operator="between">
      <formula>14.1</formula>
      <formula>35</formula>
    </cfRule>
    <cfRule type="cellIs" dxfId="7614" priority="362" stopIfTrue="1" operator="between">
      <formula>5.1</formula>
      <formula>14</formula>
    </cfRule>
    <cfRule type="cellIs" dxfId="7613" priority="363" stopIfTrue="1" operator="between">
      <formula>0</formula>
      <formula>5</formula>
    </cfRule>
    <cfRule type="containsBlanks" dxfId="7612" priority="364" stopIfTrue="1">
      <formula>LEN(TRIM(N498))=0</formula>
    </cfRule>
  </conditionalFormatting>
  <conditionalFormatting sqref="E497:M497 O497:P497">
    <cfRule type="containsBlanks" dxfId="7611" priority="351" stopIfTrue="1">
      <formula>LEN(TRIM(E497))=0</formula>
    </cfRule>
    <cfRule type="cellIs" dxfId="7610" priority="352" stopIfTrue="1" operator="between">
      <formula>80.1</formula>
      <formula>100</formula>
    </cfRule>
    <cfRule type="cellIs" dxfId="7609" priority="353" stopIfTrue="1" operator="between">
      <formula>35.1</formula>
      <formula>80</formula>
    </cfRule>
    <cfRule type="cellIs" dxfId="7608" priority="354" stopIfTrue="1" operator="between">
      <formula>14.1</formula>
      <formula>35</formula>
    </cfRule>
    <cfRule type="cellIs" dxfId="7607" priority="355" stopIfTrue="1" operator="between">
      <formula>5.1</formula>
      <formula>14</formula>
    </cfRule>
    <cfRule type="cellIs" dxfId="7606" priority="356" stopIfTrue="1" operator="between">
      <formula>0</formula>
      <formula>5</formula>
    </cfRule>
    <cfRule type="containsBlanks" dxfId="7605" priority="357" stopIfTrue="1">
      <formula>LEN(TRIM(E497))=0</formula>
    </cfRule>
  </conditionalFormatting>
  <conditionalFormatting sqref="N497">
    <cfRule type="containsBlanks" dxfId="7604" priority="344" stopIfTrue="1">
      <formula>LEN(TRIM(N497))=0</formula>
    </cfRule>
    <cfRule type="cellIs" dxfId="7603" priority="345" stopIfTrue="1" operator="between">
      <formula>80.1</formula>
      <formula>100</formula>
    </cfRule>
    <cfRule type="cellIs" dxfId="7602" priority="346" stopIfTrue="1" operator="between">
      <formula>35.1</formula>
      <formula>80</formula>
    </cfRule>
    <cfRule type="cellIs" dxfId="7601" priority="347" stopIfTrue="1" operator="between">
      <formula>14.1</formula>
      <formula>35</formula>
    </cfRule>
    <cfRule type="cellIs" dxfId="7600" priority="348" stopIfTrue="1" operator="between">
      <formula>5.1</formula>
      <formula>14</formula>
    </cfRule>
    <cfRule type="cellIs" dxfId="7599" priority="349" stopIfTrue="1" operator="between">
      <formula>0</formula>
      <formula>5</formula>
    </cfRule>
    <cfRule type="containsBlanks" dxfId="7598" priority="350" stopIfTrue="1">
      <formula>LEN(TRIM(N497))=0</formula>
    </cfRule>
  </conditionalFormatting>
  <conditionalFormatting sqref="E500:M500 O500:P500">
    <cfRule type="containsBlanks" dxfId="7597" priority="337" stopIfTrue="1">
      <formula>LEN(TRIM(E500))=0</formula>
    </cfRule>
    <cfRule type="cellIs" dxfId="7596" priority="338" stopIfTrue="1" operator="between">
      <formula>80.1</formula>
      <formula>100</formula>
    </cfRule>
    <cfRule type="cellIs" dxfId="7595" priority="339" stopIfTrue="1" operator="between">
      <formula>35.1</formula>
      <formula>80</formula>
    </cfRule>
    <cfRule type="cellIs" dxfId="7594" priority="340" stopIfTrue="1" operator="between">
      <formula>14.1</formula>
      <formula>35</formula>
    </cfRule>
    <cfRule type="cellIs" dxfId="7593" priority="341" stopIfTrue="1" operator="between">
      <formula>5.1</formula>
      <formula>14</formula>
    </cfRule>
    <cfRule type="cellIs" dxfId="7592" priority="342" stopIfTrue="1" operator="between">
      <formula>0</formula>
      <formula>5</formula>
    </cfRule>
    <cfRule type="containsBlanks" dxfId="7591" priority="343" stopIfTrue="1">
      <formula>LEN(TRIM(E500))=0</formula>
    </cfRule>
  </conditionalFormatting>
  <conditionalFormatting sqref="N500">
    <cfRule type="containsBlanks" dxfId="7590" priority="330" stopIfTrue="1">
      <formula>LEN(TRIM(N500))=0</formula>
    </cfRule>
    <cfRule type="cellIs" dxfId="7589" priority="331" stopIfTrue="1" operator="between">
      <formula>80.1</formula>
      <formula>100</formula>
    </cfRule>
    <cfRule type="cellIs" dxfId="7588" priority="332" stopIfTrue="1" operator="between">
      <formula>35.1</formula>
      <formula>80</formula>
    </cfRule>
    <cfRule type="cellIs" dxfId="7587" priority="333" stopIfTrue="1" operator="between">
      <formula>14.1</formula>
      <formula>35</formula>
    </cfRule>
    <cfRule type="cellIs" dxfId="7586" priority="334" stopIfTrue="1" operator="between">
      <formula>5.1</formula>
      <formula>14</formula>
    </cfRule>
    <cfRule type="cellIs" dxfId="7585" priority="335" stopIfTrue="1" operator="between">
      <formula>0</formula>
      <formula>5</formula>
    </cfRule>
    <cfRule type="containsBlanks" dxfId="7584" priority="336" stopIfTrue="1">
      <formula>LEN(TRIM(N500))=0</formula>
    </cfRule>
  </conditionalFormatting>
  <conditionalFormatting sqref="E501:F501 H501:P501">
    <cfRule type="containsBlanks" dxfId="7583" priority="323" stopIfTrue="1">
      <formula>LEN(TRIM(E501))=0</formula>
    </cfRule>
    <cfRule type="cellIs" dxfId="7582" priority="324" stopIfTrue="1" operator="between">
      <formula>80.1</formula>
      <formula>100</formula>
    </cfRule>
    <cfRule type="cellIs" dxfId="7581" priority="325" stopIfTrue="1" operator="between">
      <formula>35.1</formula>
      <formula>80</formula>
    </cfRule>
    <cfRule type="cellIs" dxfId="7580" priority="326" stopIfTrue="1" operator="between">
      <formula>14.1</formula>
      <formula>35</formula>
    </cfRule>
    <cfRule type="cellIs" dxfId="7579" priority="327" stopIfTrue="1" operator="between">
      <formula>5.1</formula>
      <formula>14</formula>
    </cfRule>
    <cfRule type="cellIs" dxfId="7578" priority="328" stopIfTrue="1" operator="between">
      <formula>0</formula>
      <formula>5</formula>
    </cfRule>
    <cfRule type="containsBlanks" dxfId="7577" priority="329" stopIfTrue="1">
      <formula>LEN(TRIM(E501))=0</formula>
    </cfRule>
  </conditionalFormatting>
  <conditionalFormatting sqref="G501">
    <cfRule type="containsBlanks" dxfId="7576" priority="316" stopIfTrue="1">
      <formula>LEN(TRIM(G501))=0</formula>
    </cfRule>
    <cfRule type="cellIs" dxfId="7575" priority="317" stopIfTrue="1" operator="between">
      <formula>80.1</formula>
      <formula>100</formula>
    </cfRule>
    <cfRule type="cellIs" dxfId="7574" priority="318" stopIfTrue="1" operator="between">
      <formula>35.1</formula>
      <formula>80</formula>
    </cfRule>
    <cfRule type="cellIs" dxfId="7573" priority="319" stopIfTrue="1" operator="between">
      <formula>14.1</formula>
      <formula>35</formula>
    </cfRule>
    <cfRule type="cellIs" dxfId="7572" priority="320" stopIfTrue="1" operator="between">
      <formula>5.1</formula>
      <formula>14</formula>
    </cfRule>
    <cfRule type="cellIs" dxfId="7571" priority="321" stopIfTrue="1" operator="between">
      <formula>0</formula>
      <formula>5</formula>
    </cfRule>
    <cfRule type="containsBlanks" dxfId="7570" priority="322" stopIfTrue="1">
      <formula>LEN(TRIM(G501))=0</formula>
    </cfRule>
  </conditionalFormatting>
  <conditionalFormatting sqref="E495:M495 P495">
    <cfRule type="containsBlanks" dxfId="7569" priority="309" stopIfTrue="1">
      <formula>LEN(TRIM(E495))=0</formula>
    </cfRule>
    <cfRule type="cellIs" dxfId="7568" priority="310" stopIfTrue="1" operator="between">
      <formula>80.1</formula>
      <formula>100</formula>
    </cfRule>
    <cfRule type="cellIs" dxfId="7567" priority="311" stopIfTrue="1" operator="between">
      <formula>35.1</formula>
      <formula>80</formula>
    </cfRule>
    <cfRule type="cellIs" dxfId="7566" priority="312" stopIfTrue="1" operator="between">
      <formula>14.1</formula>
      <formula>35</formula>
    </cfRule>
    <cfRule type="cellIs" dxfId="7565" priority="313" stopIfTrue="1" operator="between">
      <formula>5.1</formula>
      <formula>14</formula>
    </cfRule>
    <cfRule type="cellIs" dxfId="7564" priority="314" stopIfTrue="1" operator="between">
      <formula>0</formula>
      <formula>5</formula>
    </cfRule>
    <cfRule type="containsBlanks" dxfId="7563" priority="315" stopIfTrue="1">
      <formula>LEN(TRIM(E495))=0</formula>
    </cfRule>
  </conditionalFormatting>
  <conditionalFormatting sqref="N495">
    <cfRule type="containsBlanks" dxfId="7562" priority="302" stopIfTrue="1">
      <formula>LEN(TRIM(N495))=0</formula>
    </cfRule>
    <cfRule type="cellIs" dxfId="7561" priority="303" stopIfTrue="1" operator="between">
      <formula>80.1</formula>
      <formula>100</formula>
    </cfRule>
    <cfRule type="cellIs" dxfId="7560" priority="304" stopIfTrue="1" operator="between">
      <formula>35.1</formula>
      <formula>80</formula>
    </cfRule>
    <cfRule type="cellIs" dxfId="7559" priority="305" stopIfTrue="1" operator="between">
      <formula>14.1</formula>
      <formula>35</formula>
    </cfRule>
    <cfRule type="cellIs" dxfId="7558" priority="306" stopIfTrue="1" operator="between">
      <formula>5.1</formula>
      <formula>14</formula>
    </cfRule>
    <cfRule type="cellIs" dxfId="7557" priority="307" stopIfTrue="1" operator="between">
      <formula>0</formula>
      <formula>5</formula>
    </cfRule>
    <cfRule type="containsBlanks" dxfId="7556" priority="308" stopIfTrue="1">
      <formula>LEN(TRIM(N495))=0</formula>
    </cfRule>
  </conditionalFormatting>
  <conditionalFormatting sqref="O495">
    <cfRule type="containsBlanks" dxfId="7555" priority="295" stopIfTrue="1">
      <formula>LEN(TRIM(O495))=0</formula>
    </cfRule>
    <cfRule type="cellIs" dxfId="7554" priority="296" stopIfTrue="1" operator="between">
      <formula>80.1</formula>
      <formula>100</formula>
    </cfRule>
    <cfRule type="cellIs" dxfId="7553" priority="297" stopIfTrue="1" operator="between">
      <formula>35.1</formula>
      <formula>80</formula>
    </cfRule>
    <cfRule type="cellIs" dxfId="7552" priority="298" stopIfTrue="1" operator="between">
      <formula>14.1</formula>
      <formula>35</formula>
    </cfRule>
    <cfRule type="cellIs" dxfId="7551" priority="299" stopIfTrue="1" operator="between">
      <formula>5.1</formula>
      <formula>14</formula>
    </cfRule>
    <cfRule type="cellIs" dxfId="7550" priority="300" stopIfTrue="1" operator="between">
      <formula>0</formula>
      <formula>5</formula>
    </cfRule>
    <cfRule type="containsBlanks" dxfId="7549" priority="301" stopIfTrue="1">
      <formula>LEN(TRIM(O495))=0</formula>
    </cfRule>
  </conditionalFormatting>
  <conditionalFormatting sqref="E441:P441">
    <cfRule type="containsBlanks" dxfId="7548" priority="288" stopIfTrue="1">
      <formula>LEN(TRIM(E441))=0</formula>
    </cfRule>
    <cfRule type="cellIs" dxfId="7547" priority="289" stopIfTrue="1" operator="between">
      <formula>80.1</formula>
      <formula>100</formula>
    </cfRule>
    <cfRule type="cellIs" dxfId="7546" priority="290" stopIfTrue="1" operator="between">
      <formula>35.1</formula>
      <formula>80</formula>
    </cfRule>
    <cfRule type="cellIs" dxfId="7545" priority="291" stopIfTrue="1" operator="between">
      <formula>14.1</formula>
      <formula>35</formula>
    </cfRule>
    <cfRule type="cellIs" dxfId="7544" priority="292" stopIfTrue="1" operator="between">
      <formula>5.1</formula>
      <formula>14</formula>
    </cfRule>
    <cfRule type="cellIs" dxfId="7543" priority="293" stopIfTrue="1" operator="between">
      <formula>0</formula>
      <formula>5</formula>
    </cfRule>
    <cfRule type="containsBlanks" dxfId="7542" priority="294" stopIfTrue="1">
      <formula>LEN(TRIM(E441))=0</formula>
    </cfRule>
  </conditionalFormatting>
  <conditionalFormatting sqref="E444:P444">
    <cfRule type="containsBlanks" dxfId="7541" priority="281" stopIfTrue="1">
      <formula>LEN(TRIM(E444))=0</formula>
    </cfRule>
    <cfRule type="cellIs" dxfId="7540" priority="282" stopIfTrue="1" operator="between">
      <formula>80.1</formula>
      <formula>100</formula>
    </cfRule>
    <cfRule type="cellIs" dxfId="7539" priority="283" stopIfTrue="1" operator="between">
      <formula>35.1</formula>
      <formula>80</formula>
    </cfRule>
    <cfRule type="cellIs" dxfId="7538" priority="284" stopIfTrue="1" operator="between">
      <formula>14.1</formula>
      <formula>35</formula>
    </cfRule>
    <cfRule type="cellIs" dxfId="7537" priority="285" stopIfTrue="1" operator="between">
      <formula>5.1</formula>
      <formula>14</formula>
    </cfRule>
    <cfRule type="cellIs" dxfId="7536" priority="286" stopIfTrue="1" operator="between">
      <formula>0</formula>
      <formula>5</formula>
    </cfRule>
    <cfRule type="containsBlanks" dxfId="7535" priority="287" stopIfTrue="1">
      <formula>LEN(TRIM(E444))=0</formula>
    </cfRule>
  </conditionalFormatting>
  <conditionalFormatting sqref="E449:P449">
    <cfRule type="containsBlanks" dxfId="7534" priority="253" stopIfTrue="1">
      <formula>LEN(TRIM(E449))=0</formula>
    </cfRule>
    <cfRule type="cellIs" dxfId="7533" priority="254" stopIfTrue="1" operator="between">
      <formula>80.1</formula>
      <formula>100</formula>
    </cfRule>
    <cfRule type="cellIs" dxfId="7532" priority="255" stopIfTrue="1" operator="between">
      <formula>35.1</formula>
      <formula>80</formula>
    </cfRule>
    <cfRule type="cellIs" dxfId="7531" priority="256" stopIfTrue="1" operator="between">
      <formula>14.1</formula>
      <formula>35</formula>
    </cfRule>
    <cfRule type="cellIs" dxfId="7530" priority="257" stopIfTrue="1" operator="between">
      <formula>5.1</formula>
      <formula>14</formula>
    </cfRule>
    <cfRule type="cellIs" dxfId="7529" priority="258" stopIfTrue="1" operator="between">
      <formula>0</formula>
      <formula>5</formula>
    </cfRule>
    <cfRule type="containsBlanks" dxfId="7528" priority="259" stopIfTrue="1">
      <formula>LEN(TRIM(E449))=0</formula>
    </cfRule>
  </conditionalFormatting>
  <conditionalFormatting sqref="E456:P456">
    <cfRule type="containsBlanks" dxfId="7527" priority="29" stopIfTrue="1">
      <formula>LEN(TRIM(E456))=0</formula>
    </cfRule>
    <cfRule type="cellIs" dxfId="7526" priority="30" stopIfTrue="1" operator="between">
      <formula>80.1</formula>
      <formula>100</formula>
    </cfRule>
    <cfRule type="cellIs" dxfId="7525" priority="31" stopIfTrue="1" operator="between">
      <formula>35.1</formula>
      <formula>80</formula>
    </cfRule>
    <cfRule type="cellIs" dxfId="7524" priority="32" stopIfTrue="1" operator="between">
      <formula>14.1</formula>
      <formula>35</formula>
    </cfRule>
    <cfRule type="cellIs" dxfId="7523" priority="33" stopIfTrue="1" operator="between">
      <formula>5.1</formula>
      <formula>14</formula>
    </cfRule>
    <cfRule type="cellIs" dxfId="7522" priority="34" stopIfTrue="1" operator="between">
      <formula>0</formula>
      <formula>5</formula>
    </cfRule>
    <cfRule type="containsBlanks" dxfId="7521" priority="35" stopIfTrue="1">
      <formula>LEN(TRIM(E456))=0</formula>
    </cfRule>
  </conditionalFormatting>
  <conditionalFormatting sqref="E431:P431">
    <cfRule type="containsBlanks" dxfId="7520" priority="267" stopIfTrue="1">
      <formula>LEN(TRIM(E431))=0</formula>
    </cfRule>
    <cfRule type="cellIs" dxfId="7519" priority="268" stopIfTrue="1" operator="between">
      <formula>80.1</formula>
      <formula>100</formula>
    </cfRule>
    <cfRule type="cellIs" dxfId="7518" priority="269" stopIfTrue="1" operator="between">
      <formula>35.1</formula>
      <formula>80</formula>
    </cfRule>
    <cfRule type="cellIs" dxfId="7517" priority="270" stopIfTrue="1" operator="between">
      <formula>14.1</formula>
      <formula>35</formula>
    </cfRule>
    <cfRule type="cellIs" dxfId="7516" priority="271" stopIfTrue="1" operator="between">
      <formula>5.1</formula>
      <formula>14</formula>
    </cfRule>
    <cfRule type="cellIs" dxfId="7515" priority="272" stopIfTrue="1" operator="between">
      <formula>0</formula>
      <formula>5</formula>
    </cfRule>
    <cfRule type="containsBlanks" dxfId="7514" priority="273" stopIfTrue="1">
      <formula>LEN(TRIM(E431))=0</formula>
    </cfRule>
  </conditionalFormatting>
  <conditionalFormatting sqref="E425:P425">
    <cfRule type="containsBlanks" dxfId="7513" priority="260" stopIfTrue="1">
      <formula>LEN(TRIM(E425))=0</formula>
    </cfRule>
    <cfRule type="cellIs" dxfId="7512" priority="261" stopIfTrue="1" operator="between">
      <formula>80.1</formula>
      <formula>100</formula>
    </cfRule>
    <cfRule type="cellIs" dxfId="7511" priority="262" stopIfTrue="1" operator="between">
      <formula>35.1</formula>
      <formula>80</formula>
    </cfRule>
    <cfRule type="cellIs" dxfId="7510" priority="263" stopIfTrue="1" operator="between">
      <formula>14.1</formula>
      <formula>35</formula>
    </cfRule>
    <cfRule type="cellIs" dxfId="7509" priority="264" stopIfTrue="1" operator="between">
      <formula>5.1</formula>
      <formula>14</formula>
    </cfRule>
    <cfRule type="cellIs" dxfId="7508" priority="265" stopIfTrue="1" operator="between">
      <formula>0</formula>
      <formula>5</formula>
    </cfRule>
    <cfRule type="containsBlanks" dxfId="7507" priority="266" stopIfTrue="1">
      <formula>LEN(TRIM(E425))=0</formula>
    </cfRule>
  </conditionalFormatting>
  <conditionalFormatting sqref="E461:P461">
    <cfRule type="containsBlanks" dxfId="7506" priority="246" stopIfTrue="1">
      <formula>LEN(TRIM(E461))=0</formula>
    </cfRule>
    <cfRule type="cellIs" dxfId="7505" priority="247" stopIfTrue="1" operator="between">
      <formula>80.1</formula>
      <formula>100</formula>
    </cfRule>
    <cfRule type="cellIs" dxfId="7504" priority="248" stopIfTrue="1" operator="between">
      <formula>35.1</formula>
      <formula>80</formula>
    </cfRule>
    <cfRule type="cellIs" dxfId="7503" priority="249" stopIfTrue="1" operator="between">
      <formula>14.1</formula>
      <formula>35</formula>
    </cfRule>
    <cfRule type="cellIs" dxfId="7502" priority="250" stopIfTrue="1" operator="between">
      <formula>5.1</formula>
      <formula>14</formula>
    </cfRule>
    <cfRule type="cellIs" dxfId="7501" priority="251" stopIfTrue="1" operator="between">
      <formula>0</formula>
      <formula>5</formula>
    </cfRule>
    <cfRule type="containsBlanks" dxfId="7500" priority="252" stopIfTrue="1">
      <formula>LEN(TRIM(E461))=0</formula>
    </cfRule>
  </conditionalFormatting>
  <conditionalFormatting sqref="E442:P442">
    <cfRule type="containsBlanks" dxfId="7499" priority="232" stopIfTrue="1">
      <formula>LEN(TRIM(E442))=0</formula>
    </cfRule>
    <cfRule type="cellIs" dxfId="7498" priority="233" stopIfTrue="1" operator="between">
      <formula>80.1</formula>
      <formula>100</formula>
    </cfRule>
    <cfRule type="cellIs" dxfId="7497" priority="234" stopIfTrue="1" operator="between">
      <formula>35.1</formula>
      <formula>80</formula>
    </cfRule>
    <cfRule type="cellIs" dxfId="7496" priority="235" stopIfTrue="1" operator="between">
      <formula>14.1</formula>
      <formula>35</formula>
    </cfRule>
    <cfRule type="cellIs" dxfId="7495" priority="236" stopIfTrue="1" operator="between">
      <formula>5.1</formula>
      <formula>14</formula>
    </cfRule>
    <cfRule type="cellIs" dxfId="7494" priority="237" stopIfTrue="1" operator="between">
      <formula>0</formula>
      <formula>5</formula>
    </cfRule>
    <cfRule type="containsBlanks" dxfId="7493" priority="238" stopIfTrue="1">
      <formula>LEN(TRIM(E442))=0</formula>
    </cfRule>
  </conditionalFormatting>
  <conditionalFormatting sqref="E455:P455">
    <cfRule type="containsBlanks" dxfId="7492" priority="225" stopIfTrue="1">
      <formula>LEN(TRIM(E455))=0</formula>
    </cfRule>
    <cfRule type="cellIs" dxfId="7491" priority="226" stopIfTrue="1" operator="between">
      <formula>80.1</formula>
      <formula>100</formula>
    </cfRule>
    <cfRule type="cellIs" dxfId="7490" priority="227" stopIfTrue="1" operator="between">
      <formula>35.1</formula>
      <formula>80</formula>
    </cfRule>
    <cfRule type="cellIs" dxfId="7489" priority="228" stopIfTrue="1" operator="between">
      <formula>14.1</formula>
      <formula>35</formula>
    </cfRule>
    <cfRule type="cellIs" dxfId="7488" priority="229" stopIfTrue="1" operator="between">
      <formula>5.1</formula>
      <formula>14</formula>
    </cfRule>
    <cfRule type="cellIs" dxfId="7487" priority="230" stopIfTrue="1" operator="between">
      <formula>0</formula>
      <formula>5</formula>
    </cfRule>
    <cfRule type="containsBlanks" dxfId="7486" priority="231" stopIfTrue="1">
      <formula>LEN(TRIM(E455))=0</formula>
    </cfRule>
  </conditionalFormatting>
  <conditionalFormatting sqref="E430:P430">
    <cfRule type="containsBlanks" dxfId="7485" priority="218" stopIfTrue="1">
      <formula>LEN(TRIM(E430))=0</formula>
    </cfRule>
    <cfRule type="cellIs" dxfId="7484" priority="219" stopIfTrue="1" operator="between">
      <formula>80.1</formula>
      <formula>100</formula>
    </cfRule>
    <cfRule type="cellIs" dxfId="7483" priority="220" stopIfTrue="1" operator="between">
      <formula>35.1</formula>
      <formula>80</formula>
    </cfRule>
    <cfRule type="cellIs" dxfId="7482" priority="221" stopIfTrue="1" operator="between">
      <formula>14.1</formula>
      <formula>35</formula>
    </cfRule>
    <cfRule type="cellIs" dxfId="7481" priority="222" stopIfTrue="1" operator="between">
      <formula>5.1</formula>
      <formula>14</formula>
    </cfRule>
    <cfRule type="cellIs" dxfId="7480" priority="223" stopIfTrue="1" operator="between">
      <formula>0</formula>
      <formula>5</formula>
    </cfRule>
    <cfRule type="containsBlanks" dxfId="7479" priority="224" stopIfTrue="1">
      <formula>LEN(TRIM(E430))=0</formula>
    </cfRule>
  </conditionalFormatting>
  <conditionalFormatting sqref="E427:P427">
    <cfRule type="containsBlanks" dxfId="7478" priority="211" stopIfTrue="1">
      <formula>LEN(TRIM(E427))=0</formula>
    </cfRule>
    <cfRule type="cellIs" dxfId="7477" priority="212" stopIfTrue="1" operator="between">
      <formula>80.1</formula>
      <formula>100</formula>
    </cfRule>
    <cfRule type="cellIs" dxfId="7476" priority="213" stopIfTrue="1" operator="between">
      <formula>35.1</formula>
      <formula>80</formula>
    </cfRule>
    <cfRule type="cellIs" dxfId="7475" priority="214" stopIfTrue="1" operator="between">
      <formula>14.1</formula>
      <formula>35</formula>
    </cfRule>
    <cfRule type="cellIs" dxfId="7474" priority="215" stopIfTrue="1" operator="between">
      <formula>5.1</formula>
      <formula>14</formula>
    </cfRule>
    <cfRule type="cellIs" dxfId="7473" priority="216" stopIfTrue="1" operator="between">
      <formula>0</formula>
      <formula>5</formula>
    </cfRule>
    <cfRule type="containsBlanks" dxfId="7472" priority="217" stopIfTrue="1">
      <formula>LEN(TRIM(E427))=0</formula>
    </cfRule>
  </conditionalFormatting>
  <conditionalFormatting sqref="E445:P445">
    <cfRule type="containsBlanks" dxfId="7471" priority="204" stopIfTrue="1">
      <formula>LEN(TRIM(E445))=0</formula>
    </cfRule>
    <cfRule type="cellIs" dxfId="7470" priority="205" stopIfTrue="1" operator="between">
      <formula>80.1</formula>
      <formula>100</formula>
    </cfRule>
    <cfRule type="cellIs" dxfId="7469" priority="206" stopIfTrue="1" operator="between">
      <formula>35.1</formula>
      <formula>80</formula>
    </cfRule>
    <cfRule type="cellIs" dxfId="7468" priority="207" stopIfTrue="1" operator="between">
      <formula>14.1</formula>
      <formula>35</formula>
    </cfRule>
    <cfRule type="cellIs" dxfId="7467" priority="208" stopIfTrue="1" operator="between">
      <formula>5.1</formula>
      <formula>14</formula>
    </cfRule>
    <cfRule type="cellIs" dxfId="7466" priority="209" stopIfTrue="1" operator="between">
      <formula>0</formula>
      <formula>5</formula>
    </cfRule>
    <cfRule type="containsBlanks" dxfId="7465" priority="210" stopIfTrue="1">
      <formula>LEN(TRIM(E445))=0</formula>
    </cfRule>
  </conditionalFormatting>
  <conditionalFormatting sqref="E446:P446">
    <cfRule type="containsBlanks" dxfId="7464" priority="197" stopIfTrue="1">
      <formula>LEN(TRIM(E446))=0</formula>
    </cfRule>
    <cfRule type="cellIs" dxfId="7463" priority="198" stopIfTrue="1" operator="between">
      <formula>80.1</formula>
      <formula>100</formula>
    </cfRule>
    <cfRule type="cellIs" dxfId="7462" priority="199" stopIfTrue="1" operator="between">
      <formula>35.1</formula>
      <formula>80</formula>
    </cfRule>
    <cfRule type="cellIs" dxfId="7461" priority="200" stopIfTrue="1" operator="between">
      <formula>14.1</formula>
      <formula>35</formula>
    </cfRule>
    <cfRule type="cellIs" dxfId="7460" priority="201" stopIfTrue="1" operator="between">
      <formula>5.1</formula>
      <formula>14</formula>
    </cfRule>
    <cfRule type="cellIs" dxfId="7459" priority="202" stopIfTrue="1" operator="between">
      <formula>0</formula>
      <formula>5</formula>
    </cfRule>
    <cfRule type="containsBlanks" dxfId="7458" priority="203" stopIfTrue="1">
      <formula>LEN(TRIM(E446))=0</formula>
    </cfRule>
  </conditionalFormatting>
  <conditionalFormatting sqref="E434:P434">
    <cfRule type="containsBlanks" dxfId="7457" priority="190" stopIfTrue="1">
      <formula>LEN(TRIM(E434))=0</formula>
    </cfRule>
    <cfRule type="cellIs" dxfId="7456" priority="191" stopIfTrue="1" operator="between">
      <formula>80.1</formula>
      <formula>100</formula>
    </cfRule>
    <cfRule type="cellIs" dxfId="7455" priority="192" stopIfTrue="1" operator="between">
      <formula>35.1</formula>
      <formula>80</formula>
    </cfRule>
    <cfRule type="cellIs" dxfId="7454" priority="193" stopIfTrue="1" operator="between">
      <formula>14.1</formula>
      <formula>35</formula>
    </cfRule>
    <cfRule type="cellIs" dxfId="7453" priority="194" stopIfTrue="1" operator="between">
      <formula>5.1</formula>
      <formula>14</formula>
    </cfRule>
    <cfRule type="cellIs" dxfId="7452" priority="195" stopIfTrue="1" operator="between">
      <formula>0</formula>
      <formula>5</formula>
    </cfRule>
    <cfRule type="containsBlanks" dxfId="7451" priority="196" stopIfTrue="1">
      <formula>LEN(TRIM(E434))=0</formula>
    </cfRule>
  </conditionalFormatting>
  <conditionalFormatting sqref="E438:P438">
    <cfRule type="containsBlanks" dxfId="7450" priority="183" stopIfTrue="1">
      <formula>LEN(TRIM(E438))=0</formula>
    </cfRule>
    <cfRule type="cellIs" dxfId="7449" priority="184" stopIfTrue="1" operator="between">
      <formula>80.1</formula>
      <formula>100</formula>
    </cfRule>
    <cfRule type="cellIs" dxfId="7448" priority="185" stopIfTrue="1" operator="between">
      <formula>35.1</formula>
      <formula>80</formula>
    </cfRule>
    <cfRule type="cellIs" dxfId="7447" priority="186" stopIfTrue="1" operator="between">
      <formula>14.1</formula>
      <formula>35</formula>
    </cfRule>
    <cfRule type="cellIs" dxfId="7446" priority="187" stopIfTrue="1" operator="between">
      <formula>5.1</formula>
      <formula>14</formula>
    </cfRule>
    <cfRule type="cellIs" dxfId="7445" priority="188" stopIfTrue="1" operator="between">
      <formula>0</formula>
      <formula>5</formula>
    </cfRule>
    <cfRule type="containsBlanks" dxfId="7444" priority="189" stopIfTrue="1">
      <formula>LEN(TRIM(E438))=0</formula>
    </cfRule>
  </conditionalFormatting>
  <conditionalFormatting sqref="E459:P460">
    <cfRule type="containsBlanks" dxfId="7443" priority="176" stopIfTrue="1">
      <formula>LEN(TRIM(E459))=0</formula>
    </cfRule>
    <cfRule type="cellIs" dxfId="7442" priority="177" stopIfTrue="1" operator="between">
      <formula>80.1</formula>
      <formula>100</formula>
    </cfRule>
    <cfRule type="cellIs" dxfId="7441" priority="178" stopIfTrue="1" operator="between">
      <formula>35.1</formula>
      <formula>80</formula>
    </cfRule>
    <cfRule type="cellIs" dxfId="7440" priority="179" stopIfTrue="1" operator="between">
      <formula>14.1</formula>
      <formula>35</formula>
    </cfRule>
    <cfRule type="cellIs" dxfId="7439" priority="180" stopIfTrue="1" operator="between">
      <formula>5.1</formula>
      <formula>14</formula>
    </cfRule>
    <cfRule type="cellIs" dxfId="7438" priority="181" stopIfTrue="1" operator="between">
      <formula>0</formula>
      <formula>5</formula>
    </cfRule>
    <cfRule type="containsBlanks" dxfId="7437" priority="182" stopIfTrue="1">
      <formula>LEN(TRIM(E459))=0</formula>
    </cfRule>
  </conditionalFormatting>
  <conditionalFormatting sqref="E458:P458">
    <cfRule type="containsBlanks" dxfId="7436" priority="169" stopIfTrue="1">
      <formula>LEN(TRIM(E458))=0</formula>
    </cfRule>
    <cfRule type="cellIs" dxfId="7435" priority="170" stopIfTrue="1" operator="between">
      <formula>80.1</formula>
      <formula>100</formula>
    </cfRule>
    <cfRule type="cellIs" dxfId="7434" priority="171" stopIfTrue="1" operator="between">
      <formula>35.1</formula>
      <formula>80</formula>
    </cfRule>
    <cfRule type="cellIs" dxfId="7433" priority="172" stopIfTrue="1" operator="between">
      <formula>14.1</formula>
      <formula>35</formula>
    </cfRule>
    <cfRule type="cellIs" dxfId="7432" priority="173" stopIfTrue="1" operator="between">
      <formula>5.1</formula>
      <formula>14</formula>
    </cfRule>
    <cfRule type="cellIs" dxfId="7431" priority="174" stopIfTrue="1" operator="between">
      <formula>0</formula>
      <formula>5</formula>
    </cfRule>
    <cfRule type="containsBlanks" dxfId="7430" priority="175" stopIfTrue="1">
      <formula>LEN(TRIM(E458))=0</formula>
    </cfRule>
  </conditionalFormatting>
  <conditionalFormatting sqref="E440:P440">
    <cfRule type="containsBlanks" dxfId="7429" priority="162" stopIfTrue="1">
      <formula>LEN(TRIM(E440))=0</formula>
    </cfRule>
    <cfRule type="cellIs" dxfId="7428" priority="163" stopIfTrue="1" operator="between">
      <formula>80.1</formula>
      <formula>100</formula>
    </cfRule>
    <cfRule type="cellIs" dxfId="7427" priority="164" stopIfTrue="1" operator="between">
      <formula>35.1</formula>
      <formula>80</formula>
    </cfRule>
    <cfRule type="cellIs" dxfId="7426" priority="165" stopIfTrue="1" operator="between">
      <formula>14.1</formula>
      <formula>35</formula>
    </cfRule>
    <cfRule type="cellIs" dxfId="7425" priority="166" stopIfTrue="1" operator="between">
      <formula>5.1</formula>
      <formula>14</formula>
    </cfRule>
    <cfRule type="cellIs" dxfId="7424" priority="167" stopIfTrue="1" operator="between">
      <formula>0</formula>
      <formula>5</formula>
    </cfRule>
    <cfRule type="containsBlanks" dxfId="7423" priority="168" stopIfTrue="1">
      <formula>LEN(TRIM(E440))=0</formula>
    </cfRule>
  </conditionalFormatting>
  <conditionalFormatting sqref="E428:P428">
    <cfRule type="containsBlanks" dxfId="7422" priority="155" stopIfTrue="1">
      <formula>LEN(TRIM(E428))=0</formula>
    </cfRule>
    <cfRule type="cellIs" dxfId="7421" priority="156" stopIfTrue="1" operator="between">
      <formula>80.1</formula>
      <formula>100</formula>
    </cfRule>
    <cfRule type="cellIs" dxfId="7420" priority="157" stopIfTrue="1" operator="between">
      <formula>35.1</formula>
      <formula>80</formula>
    </cfRule>
    <cfRule type="cellIs" dxfId="7419" priority="158" stopIfTrue="1" operator="between">
      <formula>14.1</formula>
      <formula>35</formula>
    </cfRule>
    <cfRule type="cellIs" dxfId="7418" priority="159" stopIfTrue="1" operator="between">
      <formula>5.1</formula>
      <formula>14</formula>
    </cfRule>
    <cfRule type="cellIs" dxfId="7417" priority="160" stopIfTrue="1" operator="between">
      <formula>0</formula>
      <formula>5</formula>
    </cfRule>
    <cfRule type="containsBlanks" dxfId="7416" priority="161" stopIfTrue="1">
      <formula>LEN(TRIM(E428))=0</formula>
    </cfRule>
  </conditionalFormatting>
  <conditionalFormatting sqref="E452:P452">
    <cfRule type="containsBlanks" dxfId="7415" priority="148" stopIfTrue="1">
      <formula>LEN(TRIM(E452))=0</formula>
    </cfRule>
    <cfRule type="cellIs" dxfId="7414" priority="149" stopIfTrue="1" operator="between">
      <formula>80.1</formula>
      <formula>100</formula>
    </cfRule>
    <cfRule type="cellIs" dxfId="7413" priority="150" stopIfTrue="1" operator="between">
      <formula>35.1</formula>
      <formula>80</formula>
    </cfRule>
    <cfRule type="cellIs" dxfId="7412" priority="151" stopIfTrue="1" operator="between">
      <formula>14.1</formula>
      <formula>35</formula>
    </cfRule>
    <cfRule type="cellIs" dxfId="7411" priority="152" stopIfTrue="1" operator="between">
      <formula>5.1</formula>
      <formula>14</formula>
    </cfRule>
    <cfRule type="cellIs" dxfId="7410" priority="153" stopIfTrue="1" operator="between">
      <formula>0</formula>
      <formula>5</formula>
    </cfRule>
    <cfRule type="containsBlanks" dxfId="7409" priority="154" stopIfTrue="1">
      <formula>LEN(TRIM(E452))=0</formula>
    </cfRule>
  </conditionalFormatting>
  <conditionalFormatting sqref="E432:P432">
    <cfRule type="containsBlanks" dxfId="7408" priority="141" stopIfTrue="1">
      <formula>LEN(TRIM(E432))=0</formula>
    </cfRule>
    <cfRule type="cellIs" dxfId="7407" priority="142" stopIfTrue="1" operator="between">
      <formula>80.1</formula>
      <formula>100</formula>
    </cfRule>
    <cfRule type="cellIs" dxfId="7406" priority="143" stopIfTrue="1" operator="between">
      <formula>35.1</formula>
      <formula>80</formula>
    </cfRule>
    <cfRule type="cellIs" dxfId="7405" priority="144" stopIfTrue="1" operator="between">
      <formula>14.1</formula>
      <formula>35</formula>
    </cfRule>
    <cfRule type="cellIs" dxfId="7404" priority="145" stopIfTrue="1" operator="between">
      <formula>5.1</formula>
      <formula>14</formula>
    </cfRule>
    <cfRule type="cellIs" dxfId="7403" priority="146" stopIfTrue="1" operator="between">
      <formula>0</formula>
      <formula>5</formula>
    </cfRule>
    <cfRule type="containsBlanks" dxfId="7402" priority="147" stopIfTrue="1">
      <formula>LEN(TRIM(E432))=0</formula>
    </cfRule>
  </conditionalFormatting>
  <conditionalFormatting sqref="E435:P435">
    <cfRule type="containsBlanks" dxfId="7401" priority="134" stopIfTrue="1">
      <formula>LEN(TRIM(E435))=0</formula>
    </cfRule>
    <cfRule type="cellIs" dxfId="7400" priority="135" stopIfTrue="1" operator="between">
      <formula>80.1</formula>
      <formula>100</formula>
    </cfRule>
    <cfRule type="cellIs" dxfId="7399" priority="136" stopIfTrue="1" operator="between">
      <formula>35.1</formula>
      <formula>80</formula>
    </cfRule>
    <cfRule type="cellIs" dxfId="7398" priority="137" stopIfTrue="1" operator="between">
      <formula>14.1</formula>
      <formula>35</formula>
    </cfRule>
    <cfRule type="cellIs" dxfId="7397" priority="138" stopIfTrue="1" operator="between">
      <formula>5.1</formula>
      <formula>14</formula>
    </cfRule>
    <cfRule type="cellIs" dxfId="7396" priority="139" stopIfTrue="1" operator="between">
      <formula>0</formula>
      <formula>5</formula>
    </cfRule>
    <cfRule type="containsBlanks" dxfId="7395" priority="140" stopIfTrue="1">
      <formula>LEN(TRIM(E435))=0</formula>
    </cfRule>
  </conditionalFormatting>
  <conditionalFormatting sqref="E436:P436">
    <cfRule type="containsBlanks" dxfId="7394" priority="127" stopIfTrue="1">
      <formula>LEN(TRIM(E436))=0</formula>
    </cfRule>
    <cfRule type="cellIs" dxfId="7393" priority="128" stopIfTrue="1" operator="between">
      <formula>80.1</formula>
      <formula>100</formula>
    </cfRule>
    <cfRule type="cellIs" dxfId="7392" priority="129" stopIfTrue="1" operator="between">
      <formula>35.1</formula>
      <formula>80</formula>
    </cfRule>
    <cfRule type="cellIs" dxfId="7391" priority="130" stopIfTrue="1" operator="between">
      <formula>14.1</formula>
      <formula>35</formula>
    </cfRule>
    <cfRule type="cellIs" dxfId="7390" priority="131" stopIfTrue="1" operator="between">
      <formula>5.1</formula>
      <formula>14</formula>
    </cfRule>
    <cfRule type="cellIs" dxfId="7389" priority="132" stopIfTrue="1" operator="between">
      <formula>0</formula>
      <formula>5</formula>
    </cfRule>
    <cfRule type="containsBlanks" dxfId="7388" priority="133" stopIfTrue="1">
      <formula>LEN(TRIM(E436))=0</formula>
    </cfRule>
  </conditionalFormatting>
  <conditionalFormatting sqref="E433:P433">
    <cfRule type="containsBlanks" dxfId="7387" priority="120" stopIfTrue="1">
      <formula>LEN(TRIM(E433))=0</formula>
    </cfRule>
    <cfRule type="cellIs" dxfId="7386" priority="121" stopIfTrue="1" operator="between">
      <formula>80.1</formula>
      <formula>100</formula>
    </cfRule>
    <cfRule type="cellIs" dxfId="7385" priority="122" stopIfTrue="1" operator="between">
      <formula>35.1</formula>
      <formula>80</formula>
    </cfRule>
    <cfRule type="cellIs" dxfId="7384" priority="123" stopIfTrue="1" operator="between">
      <formula>14.1</formula>
      <formula>35</formula>
    </cfRule>
    <cfRule type="cellIs" dxfId="7383" priority="124" stopIfTrue="1" operator="between">
      <formula>5.1</formula>
      <formula>14</formula>
    </cfRule>
    <cfRule type="cellIs" dxfId="7382" priority="125" stopIfTrue="1" operator="between">
      <formula>0</formula>
      <formula>5</formula>
    </cfRule>
    <cfRule type="containsBlanks" dxfId="7381" priority="126" stopIfTrue="1">
      <formula>LEN(TRIM(E433))=0</formula>
    </cfRule>
  </conditionalFormatting>
  <conditionalFormatting sqref="E457:P457">
    <cfRule type="containsBlanks" dxfId="7380" priority="113" stopIfTrue="1">
      <formula>LEN(TRIM(E457))=0</formula>
    </cfRule>
    <cfRule type="cellIs" dxfId="7379" priority="114" stopIfTrue="1" operator="between">
      <formula>80.1</formula>
      <formula>100</formula>
    </cfRule>
    <cfRule type="cellIs" dxfId="7378" priority="115" stopIfTrue="1" operator="between">
      <formula>35.1</formula>
      <formula>80</formula>
    </cfRule>
    <cfRule type="cellIs" dxfId="7377" priority="116" stopIfTrue="1" operator="between">
      <formula>14.1</formula>
      <formula>35</formula>
    </cfRule>
    <cfRule type="cellIs" dxfId="7376" priority="117" stopIfTrue="1" operator="between">
      <formula>5.1</formula>
      <formula>14</formula>
    </cfRule>
    <cfRule type="cellIs" dxfId="7375" priority="118" stopIfTrue="1" operator="between">
      <formula>0</formula>
      <formula>5</formula>
    </cfRule>
    <cfRule type="containsBlanks" dxfId="7374" priority="119" stopIfTrue="1">
      <formula>LEN(TRIM(E457))=0</formula>
    </cfRule>
  </conditionalFormatting>
  <conditionalFormatting sqref="E443:P443">
    <cfRule type="containsBlanks" dxfId="7373" priority="106" stopIfTrue="1">
      <formula>LEN(TRIM(E443))=0</formula>
    </cfRule>
    <cfRule type="cellIs" dxfId="7372" priority="107" stopIfTrue="1" operator="between">
      <formula>80.1</formula>
      <formula>100</formula>
    </cfRule>
    <cfRule type="cellIs" dxfId="7371" priority="108" stopIfTrue="1" operator="between">
      <formula>35.1</formula>
      <formula>80</formula>
    </cfRule>
    <cfRule type="cellIs" dxfId="7370" priority="109" stopIfTrue="1" operator="between">
      <formula>14.1</formula>
      <formula>35</formula>
    </cfRule>
    <cfRule type="cellIs" dxfId="7369" priority="110" stopIfTrue="1" operator="between">
      <formula>5.1</formula>
      <formula>14</formula>
    </cfRule>
    <cfRule type="cellIs" dxfId="7368" priority="111" stopIfTrue="1" operator="between">
      <formula>0</formula>
      <formula>5</formula>
    </cfRule>
    <cfRule type="containsBlanks" dxfId="7367" priority="112" stopIfTrue="1">
      <formula>LEN(TRIM(E443))=0</formula>
    </cfRule>
  </conditionalFormatting>
  <conditionalFormatting sqref="E426:P426">
    <cfRule type="containsBlanks" dxfId="7366" priority="99" stopIfTrue="1">
      <formula>LEN(TRIM(E426))=0</formula>
    </cfRule>
    <cfRule type="cellIs" dxfId="7365" priority="100" stopIfTrue="1" operator="between">
      <formula>80.1</formula>
      <formula>100</formula>
    </cfRule>
    <cfRule type="cellIs" dxfId="7364" priority="101" stopIfTrue="1" operator="between">
      <formula>35.1</formula>
      <formula>80</formula>
    </cfRule>
    <cfRule type="cellIs" dxfId="7363" priority="102" stopIfTrue="1" operator="between">
      <formula>14.1</formula>
      <formula>35</formula>
    </cfRule>
    <cfRule type="cellIs" dxfId="7362" priority="103" stopIfTrue="1" operator="between">
      <formula>5.1</formula>
      <formula>14</formula>
    </cfRule>
    <cfRule type="cellIs" dxfId="7361" priority="104" stopIfTrue="1" operator="between">
      <formula>0</formula>
      <formula>5</formula>
    </cfRule>
    <cfRule type="containsBlanks" dxfId="7360" priority="105" stopIfTrue="1">
      <formula>LEN(TRIM(E426))=0</formula>
    </cfRule>
  </conditionalFormatting>
  <conditionalFormatting sqref="E429:P429">
    <cfRule type="containsBlanks" dxfId="7359" priority="92" stopIfTrue="1">
      <formula>LEN(TRIM(E429))=0</formula>
    </cfRule>
    <cfRule type="cellIs" dxfId="7358" priority="93" stopIfTrue="1" operator="between">
      <formula>80.1</formula>
      <formula>100</formula>
    </cfRule>
    <cfRule type="cellIs" dxfId="7357" priority="94" stopIfTrue="1" operator="between">
      <formula>35.1</formula>
      <formula>80</formula>
    </cfRule>
    <cfRule type="cellIs" dxfId="7356" priority="95" stopIfTrue="1" operator="between">
      <formula>14.1</formula>
      <formula>35</formula>
    </cfRule>
    <cfRule type="cellIs" dxfId="7355" priority="96" stopIfTrue="1" operator="between">
      <formula>5.1</formula>
      <formula>14</formula>
    </cfRule>
    <cfRule type="cellIs" dxfId="7354" priority="97" stopIfTrue="1" operator="between">
      <formula>0</formula>
      <formula>5</formula>
    </cfRule>
    <cfRule type="containsBlanks" dxfId="7353" priority="98" stopIfTrue="1">
      <formula>LEN(TRIM(E429))=0</formula>
    </cfRule>
  </conditionalFormatting>
  <conditionalFormatting sqref="E453:P453">
    <cfRule type="containsBlanks" dxfId="7352" priority="85" stopIfTrue="1">
      <formula>LEN(TRIM(E453))=0</formula>
    </cfRule>
    <cfRule type="cellIs" dxfId="7351" priority="86" stopIfTrue="1" operator="between">
      <formula>80.1</formula>
      <formula>100</formula>
    </cfRule>
    <cfRule type="cellIs" dxfId="7350" priority="87" stopIfTrue="1" operator="between">
      <formula>35.1</formula>
      <formula>80</formula>
    </cfRule>
    <cfRule type="cellIs" dxfId="7349" priority="88" stopIfTrue="1" operator="between">
      <formula>14.1</formula>
      <formula>35</formula>
    </cfRule>
    <cfRule type="cellIs" dxfId="7348" priority="89" stopIfTrue="1" operator="between">
      <formula>5.1</formula>
      <formula>14</formula>
    </cfRule>
    <cfRule type="cellIs" dxfId="7347" priority="90" stopIfTrue="1" operator="between">
      <formula>0</formula>
      <formula>5</formula>
    </cfRule>
    <cfRule type="containsBlanks" dxfId="7346" priority="91" stopIfTrue="1">
      <formula>LEN(TRIM(E453))=0</formula>
    </cfRule>
  </conditionalFormatting>
  <conditionalFormatting sqref="E454:P454">
    <cfRule type="containsBlanks" dxfId="7345" priority="78" stopIfTrue="1">
      <formula>LEN(TRIM(E454))=0</formula>
    </cfRule>
    <cfRule type="cellIs" dxfId="7344" priority="79" stopIfTrue="1" operator="between">
      <formula>80.1</formula>
      <formula>100</formula>
    </cfRule>
    <cfRule type="cellIs" dxfId="7343" priority="80" stopIfTrue="1" operator="between">
      <formula>35.1</formula>
      <formula>80</formula>
    </cfRule>
    <cfRule type="cellIs" dxfId="7342" priority="81" stopIfTrue="1" operator="between">
      <formula>14.1</formula>
      <formula>35</formula>
    </cfRule>
    <cfRule type="cellIs" dxfId="7341" priority="82" stopIfTrue="1" operator="between">
      <formula>5.1</formula>
      <formula>14</formula>
    </cfRule>
    <cfRule type="cellIs" dxfId="7340" priority="83" stopIfTrue="1" operator="between">
      <formula>0</formula>
      <formula>5</formula>
    </cfRule>
    <cfRule type="containsBlanks" dxfId="7339" priority="84" stopIfTrue="1">
      <formula>LEN(TRIM(E454))=0</formula>
    </cfRule>
  </conditionalFormatting>
  <conditionalFormatting sqref="E448:P448">
    <cfRule type="containsBlanks" dxfId="7338" priority="71" stopIfTrue="1">
      <formula>LEN(TRIM(E448))=0</formula>
    </cfRule>
    <cfRule type="cellIs" dxfId="7337" priority="72" stopIfTrue="1" operator="between">
      <formula>80.1</formula>
      <formula>100</formula>
    </cfRule>
    <cfRule type="cellIs" dxfId="7336" priority="73" stopIfTrue="1" operator="between">
      <formula>35.1</formula>
      <formula>80</formula>
    </cfRule>
    <cfRule type="cellIs" dxfId="7335" priority="74" stopIfTrue="1" operator="between">
      <formula>14.1</formula>
      <formula>35</formula>
    </cfRule>
    <cfRule type="cellIs" dxfId="7334" priority="75" stopIfTrue="1" operator="between">
      <formula>5.1</formula>
      <formula>14</formula>
    </cfRule>
    <cfRule type="cellIs" dxfId="7333" priority="76" stopIfTrue="1" operator="between">
      <formula>0</formula>
      <formula>5</formula>
    </cfRule>
    <cfRule type="containsBlanks" dxfId="7332" priority="77" stopIfTrue="1">
      <formula>LEN(TRIM(E448))=0</formula>
    </cfRule>
  </conditionalFormatting>
  <conditionalFormatting sqref="E439:P439">
    <cfRule type="containsBlanks" dxfId="7331" priority="64" stopIfTrue="1">
      <formula>LEN(TRIM(E439))=0</formula>
    </cfRule>
    <cfRule type="cellIs" dxfId="7330" priority="65" stopIfTrue="1" operator="between">
      <formula>80.1</formula>
      <formula>100</formula>
    </cfRule>
    <cfRule type="cellIs" dxfId="7329" priority="66" stopIfTrue="1" operator="between">
      <formula>35.1</formula>
      <formula>80</formula>
    </cfRule>
    <cfRule type="cellIs" dxfId="7328" priority="67" stopIfTrue="1" operator="between">
      <formula>14.1</formula>
      <formula>35</formula>
    </cfRule>
    <cfRule type="cellIs" dxfId="7327" priority="68" stopIfTrue="1" operator="between">
      <formula>5.1</formula>
      <formula>14</formula>
    </cfRule>
    <cfRule type="cellIs" dxfId="7326" priority="69" stopIfTrue="1" operator="between">
      <formula>0</formula>
      <formula>5</formula>
    </cfRule>
    <cfRule type="containsBlanks" dxfId="7325" priority="70" stopIfTrue="1">
      <formula>LEN(TRIM(E439))=0</formula>
    </cfRule>
  </conditionalFormatting>
  <conditionalFormatting sqref="E437:P437">
    <cfRule type="containsBlanks" dxfId="7324" priority="57" stopIfTrue="1">
      <formula>LEN(TRIM(E437))=0</formula>
    </cfRule>
    <cfRule type="cellIs" dxfId="7323" priority="58" stopIfTrue="1" operator="between">
      <formula>80.1</formula>
      <formula>100</formula>
    </cfRule>
    <cfRule type="cellIs" dxfId="7322" priority="59" stopIfTrue="1" operator="between">
      <formula>35.1</formula>
      <formula>80</formula>
    </cfRule>
    <cfRule type="cellIs" dxfId="7321" priority="60" stopIfTrue="1" operator="between">
      <formula>14.1</formula>
      <formula>35</formula>
    </cfRule>
    <cfRule type="cellIs" dxfId="7320" priority="61" stopIfTrue="1" operator="between">
      <formula>5.1</formula>
      <formula>14</formula>
    </cfRule>
    <cfRule type="cellIs" dxfId="7319" priority="62" stopIfTrue="1" operator="between">
      <formula>0</formula>
      <formula>5</formula>
    </cfRule>
    <cfRule type="containsBlanks" dxfId="7318" priority="63" stopIfTrue="1">
      <formula>LEN(TRIM(E437))=0</formula>
    </cfRule>
  </conditionalFormatting>
  <conditionalFormatting sqref="E447:P447">
    <cfRule type="containsBlanks" dxfId="7317" priority="50" stopIfTrue="1">
      <formula>LEN(TRIM(E447))=0</formula>
    </cfRule>
    <cfRule type="cellIs" dxfId="7316" priority="51" stopIfTrue="1" operator="between">
      <formula>80.1</formula>
      <formula>100</formula>
    </cfRule>
    <cfRule type="cellIs" dxfId="7315" priority="52" stopIfTrue="1" operator="between">
      <formula>35.1</formula>
      <formula>80</formula>
    </cfRule>
    <cfRule type="cellIs" dxfId="7314" priority="53" stopIfTrue="1" operator="between">
      <formula>14.1</formula>
      <formula>35</formula>
    </cfRule>
    <cfRule type="cellIs" dxfId="7313" priority="54" stopIfTrue="1" operator="between">
      <formula>5.1</formula>
      <formula>14</formula>
    </cfRule>
    <cfRule type="cellIs" dxfId="7312" priority="55" stopIfTrue="1" operator="between">
      <formula>0</formula>
      <formula>5</formula>
    </cfRule>
    <cfRule type="containsBlanks" dxfId="7311" priority="56" stopIfTrue="1">
      <formula>LEN(TRIM(E447))=0</formula>
    </cfRule>
  </conditionalFormatting>
  <conditionalFormatting sqref="E450:P450">
    <cfRule type="containsBlanks" dxfId="7310" priority="43" stopIfTrue="1">
      <formula>LEN(TRIM(E450))=0</formula>
    </cfRule>
    <cfRule type="cellIs" dxfId="7309" priority="44" stopIfTrue="1" operator="between">
      <formula>80.1</formula>
      <formula>100</formula>
    </cfRule>
    <cfRule type="cellIs" dxfId="7308" priority="45" stopIfTrue="1" operator="between">
      <formula>35.1</formula>
      <formula>80</formula>
    </cfRule>
    <cfRule type="cellIs" dxfId="7307" priority="46" stopIfTrue="1" operator="between">
      <formula>14.1</formula>
      <formula>35</formula>
    </cfRule>
    <cfRule type="cellIs" dxfId="7306" priority="47" stopIfTrue="1" operator="between">
      <formula>5.1</formula>
      <formula>14</formula>
    </cfRule>
    <cfRule type="cellIs" dxfId="7305" priority="48" stopIfTrue="1" operator="between">
      <formula>0</formula>
      <formula>5</formula>
    </cfRule>
    <cfRule type="containsBlanks" dxfId="7304" priority="49" stopIfTrue="1">
      <formula>LEN(TRIM(E450))=0</formula>
    </cfRule>
  </conditionalFormatting>
  <conditionalFormatting sqref="E451:P451">
    <cfRule type="containsBlanks" dxfId="7303" priority="36" stopIfTrue="1">
      <formula>LEN(TRIM(E451))=0</formula>
    </cfRule>
    <cfRule type="cellIs" dxfId="7302" priority="37" stopIfTrue="1" operator="between">
      <formula>80.1</formula>
      <formula>100</formula>
    </cfRule>
    <cfRule type="cellIs" dxfId="7301" priority="38" stopIfTrue="1" operator="between">
      <formula>35.1</formula>
      <formula>80</formula>
    </cfRule>
    <cfRule type="cellIs" dxfId="7300" priority="39" stopIfTrue="1" operator="between">
      <formula>14.1</formula>
      <formula>35</formula>
    </cfRule>
    <cfRule type="cellIs" dxfId="7299" priority="40" stopIfTrue="1" operator="between">
      <formula>5.1</formula>
      <formula>14</formula>
    </cfRule>
    <cfRule type="cellIs" dxfId="7298" priority="41" stopIfTrue="1" operator="between">
      <formula>0</formula>
      <formula>5</formula>
    </cfRule>
    <cfRule type="containsBlanks" dxfId="7297" priority="42" stopIfTrue="1">
      <formula>LEN(TRIM(E451))=0</formula>
    </cfRule>
  </conditionalFormatting>
  <conditionalFormatting sqref="E30:P30">
    <cfRule type="containsBlanks" dxfId="7296" priority="22" stopIfTrue="1">
      <formula>LEN(TRIM(E30))=0</formula>
    </cfRule>
    <cfRule type="cellIs" dxfId="7295" priority="23" stopIfTrue="1" operator="between">
      <formula>80.1</formula>
      <formula>100</formula>
    </cfRule>
    <cfRule type="cellIs" dxfId="7294" priority="24" stopIfTrue="1" operator="between">
      <formula>35.1</formula>
      <formula>80</formula>
    </cfRule>
    <cfRule type="cellIs" dxfId="7293" priority="25" stopIfTrue="1" operator="between">
      <formula>14.1</formula>
      <formula>35</formula>
    </cfRule>
    <cfRule type="cellIs" dxfId="7292" priority="26" stopIfTrue="1" operator="between">
      <formula>5.1</formula>
      <formula>14</formula>
    </cfRule>
    <cfRule type="cellIs" dxfId="7291" priority="27" stopIfTrue="1" operator="between">
      <formula>0</formula>
      <formula>5</formula>
    </cfRule>
    <cfRule type="containsBlanks" dxfId="7290" priority="28" stopIfTrue="1">
      <formula>LEN(TRIM(E30))=0</formula>
    </cfRule>
  </conditionalFormatting>
  <conditionalFormatting sqref="E36:P36">
    <cfRule type="containsBlanks" dxfId="7289" priority="15" stopIfTrue="1">
      <formula>LEN(TRIM(E36))=0</formula>
    </cfRule>
    <cfRule type="cellIs" dxfId="7288" priority="16" stopIfTrue="1" operator="between">
      <formula>80.1</formula>
      <formula>100</formula>
    </cfRule>
    <cfRule type="cellIs" dxfId="7287" priority="17" stopIfTrue="1" operator="between">
      <formula>35.1</formula>
      <formula>80</formula>
    </cfRule>
    <cfRule type="cellIs" dxfId="7286" priority="18" stopIfTrue="1" operator="between">
      <formula>14.1</formula>
      <formula>35</formula>
    </cfRule>
    <cfRule type="cellIs" dxfId="7285" priority="19" stopIfTrue="1" operator="between">
      <formula>5.1</formula>
      <formula>14</formula>
    </cfRule>
    <cfRule type="cellIs" dxfId="7284" priority="20" stopIfTrue="1" operator="between">
      <formula>0</formula>
      <formula>5</formula>
    </cfRule>
    <cfRule type="containsBlanks" dxfId="7283" priority="21" stopIfTrue="1">
      <formula>LEN(TRIM(E36))=0</formula>
    </cfRule>
  </conditionalFormatting>
  <conditionalFormatting sqref="E416:P416">
    <cfRule type="containsBlanks" dxfId="7282" priority="8" stopIfTrue="1">
      <formula>LEN(TRIM(E416))=0</formula>
    </cfRule>
    <cfRule type="cellIs" dxfId="7281" priority="9" stopIfTrue="1" operator="between">
      <formula>80.1</formula>
      <formula>100</formula>
    </cfRule>
    <cfRule type="cellIs" dxfId="7280" priority="10" stopIfTrue="1" operator="between">
      <formula>35.1</formula>
      <formula>80</formula>
    </cfRule>
    <cfRule type="cellIs" dxfId="7279" priority="11" stopIfTrue="1" operator="between">
      <formula>14.1</formula>
      <formula>35</formula>
    </cfRule>
    <cfRule type="cellIs" dxfId="7278" priority="12" stopIfTrue="1" operator="between">
      <formula>5.1</formula>
      <formula>14</formula>
    </cfRule>
    <cfRule type="cellIs" dxfId="7277" priority="13" stopIfTrue="1" operator="between">
      <formula>0</formula>
      <formula>5</formula>
    </cfRule>
    <cfRule type="containsBlanks" dxfId="7276" priority="14" stopIfTrue="1">
      <formula>LEN(TRIM(E416))=0</formula>
    </cfRule>
  </conditionalFormatting>
  <conditionalFormatting sqref="E416:O416">
    <cfRule type="containsBlanks" dxfId="7275" priority="1" stopIfTrue="1">
      <formula>LEN(TRIM(E416))=0</formula>
    </cfRule>
    <cfRule type="cellIs" dxfId="7274" priority="2" stopIfTrue="1" operator="between">
      <formula>80.1</formula>
      <formula>100</formula>
    </cfRule>
    <cfRule type="cellIs" dxfId="7273" priority="3" stopIfTrue="1" operator="between">
      <formula>35.1</formula>
      <formula>80</formula>
    </cfRule>
    <cfRule type="cellIs" dxfId="7272" priority="4" stopIfTrue="1" operator="between">
      <formula>14.1</formula>
      <formula>35</formula>
    </cfRule>
    <cfRule type="cellIs" dxfId="7271" priority="5" stopIfTrue="1" operator="between">
      <formula>5.1</formula>
      <formula>14</formula>
    </cfRule>
    <cfRule type="cellIs" dxfId="7270" priority="6" stopIfTrue="1" operator="between">
      <formula>0</formula>
      <formula>5</formula>
    </cfRule>
    <cfRule type="containsBlanks" dxfId="7269" priority="7" stopIfTrue="1">
      <formula>LEN(TRIM(E416))=0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</sheetPr>
  <dimension ref="A1:IV781"/>
  <sheetViews>
    <sheetView zoomScale="70" zoomScaleNormal="70" workbookViewId="0">
      <pane xSplit="3" ySplit="10" topLeftCell="D11" activePane="bottomRight" state="frozenSplit"/>
      <selection pane="topRight" activeCell="D1" sqref="D1"/>
      <selection pane="bottomLeft" activeCell="A11" sqref="A11"/>
      <selection pane="bottomRight" activeCell="D21" sqref="D21"/>
    </sheetView>
  </sheetViews>
  <sheetFormatPr baseColWidth="10" defaultColWidth="0" defaultRowHeight="14.25" zeroHeight="1"/>
  <cols>
    <col min="1" max="1" width="34.140625" style="112" customWidth="1"/>
    <col min="2" max="2" width="44" style="140" customWidth="1"/>
    <col min="3" max="3" width="69.85546875" style="101" customWidth="1"/>
    <col min="4" max="4" width="19" style="124" customWidth="1"/>
    <col min="5" max="18" width="10.7109375" style="13" customWidth="1"/>
    <col min="19" max="19" width="42.28515625" style="13" bestFit="1" customWidth="1"/>
    <col min="20" max="20" width="9.85546875" style="13" hidden="1" customWidth="1"/>
    <col min="21" max="16384" width="11.42578125" style="13" hidden="1"/>
  </cols>
  <sheetData>
    <row r="1" spans="1:256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4455</v>
      </c>
      <c r="T1" s="3"/>
      <c r="U1" s="5"/>
      <c r="V1" s="6"/>
      <c r="W1" s="6"/>
    </row>
    <row r="2" spans="1:256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56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56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56" s="32" customFormat="1" ht="21.75" customHeight="1">
      <c r="A5" s="109"/>
      <c r="B5" s="694" t="s">
        <v>4477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56" s="32" customFormat="1" ht="16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56" s="32" customFormat="1" ht="3.75" customHeight="1">
      <c r="A7" s="697"/>
      <c r="B7" s="697"/>
      <c r="C7" s="42"/>
      <c r="D7" s="10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</row>
    <row r="8" spans="1:256" s="32" customFormat="1" ht="27" customHeight="1">
      <c r="A8" s="393" t="s">
        <v>4340</v>
      </c>
      <c r="B8" s="188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74"/>
    </row>
    <row r="9" spans="1:256" s="10" customFormat="1" ht="18" customHeight="1">
      <c r="A9" s="698" t="s">
        <v>37</v>
      </c>
      <c r="B9" s="696" t="s">
        <v>38</v>
      </c>
      <c r="C9" s="696" t="s">
        <v>254</v>
      </c>
      <c r="D9" s="699" t="s">
        <v>402</v>
      </c>
      <c r="E9" s="696" t="s">
        <v>33</v>
      </c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713" t="s">
        <v>34</v>
      </c>
      <c r="R9" s="713" t="s">
        <v>36</v>
      </c>
      <c r="S9" s="696" t="s">
        <v>35</v>
      </c>
      <c r="T9" s="11"/>
    </row>
    <row r="10" spans="1:256" s="10" customFormat="1" ht="24" customHeight="1">
      <c r="A10" s="698"/>
      <c r="B10" s="696"/>
      <c r="C10" s="696"/>
      <c r="D10" s="700"/>
      <c r="E10" s="178" t="s">
        <v>21</v>
      </c>
      <c r="F10" s="178" t="s">
        <v>22</v>
      </c>
      <c r="G10" s="178" t="s">
        <v>23</v>
      </c>
      <c r="H10" s="178" t="s">
        <v>24</v>
      </c>
      <c r="I10" s="178" t="s">
        <v>25</v>
      </c>
      <c r="J10" s="178" t="s">
        <v>26</v>
      </c>
      <c r="K10" s="178" t="s">
        <v>27</v>
      </c>
      <c r="L10" s="178" t="s">
        <v>28</v>
      </c>
      <c r="M10" s="178" t="s">
        <v>29</v>
      </c>
      <c r="N10" s="178" t="s">
        <v>30</v>
      </c>
      <c r="O10" s="178" t="s">
        <v>31</v>
      </c>
      <c r="P10" s="178" t="s">
        <v>32</v>
      </c>
      <c r="Q10" s="713"/>
      <c r="R10" s="713"/>
      <c r="S10" s="696"/>
      <c r="T10" s="11"/>
    </row>
    <row r="11" spans="1:256" ht="32.1" customHeight="1">
      <c r="A11" s="452" t="s">
        <v>3767</v>
      </c>
      <c r="B11" s="324" t="s">
        <v>1559</v>
      </c>
      <c r="C11" s="318" t="s">
        <v>1560</v>
      </c>
      <c r="D11" s="399">
        <v>40</v>
      </c>
      <c r="E11" s="617"/>
      <c r="F11" s="617"/>
      <c r="G11" s="617"/>
      <c r="H11" s="618">
        <v>96.39</v>
      </c>
      <c r="I11" s="617"/>
      <c r="J11" s="617"/>
      <c r="K11" s="617"/>
      <c r="L11" s="617"/>
      <c r="M11" s="617"/>
      <c r="N11" s="617"/>
      <c r="O11" s="617"/>
      <c r="P11" s="619">
        <v>70.8</v>
      </c>
      <c r="Q11" s="620">
        <f t="shared" ref="Q11:Q72" si="0">AVERAGE(E11:P11)</f>
        <v>83.594999999999999</v>
      </c>
      <c r="R11" s="315" t="str">
        <f t="shared" ref="R11:R42" si="1">IF(Q11&lt;5,"SI","NO")</f>
        <v>NO</v>
      </c>
      <c r="S11" s="347" t="str">
        <f t="shared" ref="S11:S72" si="2">IF(Q11&lt;5,"Sin Riesgo",IF(Q11 &lt;=14,"Bajo",IF(Q11&lt;=35,"Medio",IF(Q11&lt;=80,"Alto","Inviable Sanitariamente"))))</f>
        <v>Inviable Sanitariamente</v>
      </c>
      <c r="T11" s="138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ht="32.1" customHeight="1">
      <c r="A12" s="452" t="s">
        <v>3767</v>
      </c>
      <c r="B12" s="324" t="s">
        <v>1561</v>
      </c>
      <c r="C12" s="318" t="s">
        <v>1562</v>
      </c>
      <c r="D12" s="399">
        <v>287</v>
      </c>
      <c r="E12" s="617"/>
      <c r="F12" s="618">
        <v>97.39</v>
      </c>
      <c r="G12" s="617"/>
      <c r="H12" s="617"/>
      <c r="I12" s="617"/>
      <c r="J12" s="617"/>
      <c r="K12" s="617"/>
      <c r="L12" s="617"/>
      <c r="M12" s="619">
        <v>64</v>
      </c>
      <c r="N12" s="617"/>
      <c r="O12" s="621">
        <v>24</v>
      </c>
      <c r="P12" s="621">
        <v>26.55</v>
      </c>
      <c r="Q12" s="620">
        <f t="shared" si="0"/>
        <v>52.984999999999999</v>
      </c>
      <c r="R12" s="315" t="str">
        <f t="shared" si="1"/>
        <v>NO</v>
      </c>
      <c r="S12" s="347" t="str">
        <f t="shared" si="2"/>
        <v>Alto</v>
      </c>
      <c r="T12" s="138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ht="32.1" customHeight="1">
      <c r="A13" s="452" t="s">
        <v>3767</v>
      </c>
      <c r="B13" s="324" t="s">
        <v>1563</v>
      </c>
      <c r="C13" s="348" t="s">
        <v>1908</v>
      </c>
      <c r="D13" s="399">
        <v>454</v>
      </c>
      <c r="E13" s="617"/>
      <c r="F13" s="619">
        <v>36.14</v>
      </c>
      <c r="G13" s="617"/>
      <c r="H13" s="617"/>
      <c r="I13" s="617"/>
      <c r="J13" s="617"/>
      <c r="K13" s="617"/>
      <c r="L13" s="617"/>
      <c r="M13" s="617"/>
      <c r="N13" s="619">
        <v>88</v>
      </c>
      <c r="O13" s="619">
        <v>88</v>
      </c>
      <c r="P13" s="619">
        <v>88</v>
      </c>
      <c r="Q13" s="620">
        <f t="shared" si="0"/>
        <v>75.034999999999997</v>
      </c>
      <c r="R13" s="315" t="str">
        <f t="shared" si="1"/>
        <v>NO</v>
      </c>
      <c r="S13" s="347" t="str">
        <f t="shared" si="2"/>
        <v>Alto</v>
      </c>
      <c r="T13" s="138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ht="32.1" customHeight="1">
      <c r="A14" s="452" t="s">
        <v>3767</v>
      </c>
      <c r="B14" s="324" t="s">
        <v>1564</v>
      </c>
      <c r="C14" s="318" t="s">
        <v>1565</v>
      </c>
      <c r="D14" s="399">
        <v>301</v>
      </c>
      <c r="E14" s="617"/>
      <c r="F14" s="622">
        <v>0</v>
      </c>
      <c r="G14" s="617"/>
      <c r="H14" s="617"/>
      <c r="I14" s="617"/>
      <c r="J14" s="619">
        <v>93.25</v>
      </c>
      <c r="K14" s="617"/>
      <c r="L14" s="617"/>
      <c r="M14" s="618">
        <v>97.6</v>
      </c>
      <c r="N14" s="617"/>
      <c r="O14" s="617"/>
      <c r="P14" s="618">
        <v>88</v>
      </c>
      <c r="Q14" s="620">
        <f t="shared" si="0"/>
        <v>69.712500000000006</v>
      </c>
      <c r="R14" s="315" t="str">
        <f t="shared" si="1"/>
        <v>NO</v>
      </c>
      <c r="S14" s="347" t="str">
        <f t="shared" si="2"/>
        <v>Alto</v>
      </c>
      <c r="T14" s="138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ht="32.1" customHeight="1">
      <c r="A15" s="452" t="s">
        <v>3767</v>
      </c>
      <c r="B15" s="324" t="s">
        <v>1566</v>
      </c>
      <c r="C15" s="318" t="s">
        <v>1567</v>
      </c>
      <c r="D15" s="399">
        <v>832</v>
      </c>
      <c r="E15" s="617"/>
      <c r="F15" s="619">
        <v>36.14</v>
      </c>
      <c r="G15" s="622">
        <v>0</v>
      </c>
      <c r="H15" s="617"/>
      <c r="I15" s="618">
        <v>88</v>
      </c>
      <c r="J15" s="618">
        <v>97.6</v>
      </c>
      <c r="K15" s="617"/>
      <c r="L15" s="618">
        <v>88</v>
      </c>
      <c r="M15" s="617"/>
      <c r="N15" s="621">
        <v>33.6</v>
      </c>
      <c r="O15" s="617"/>
      <c r="P15" s="621">
        <v>24</v>
      </c>
      <c r="Q15" s="620">
        <f t="shared" si="0"/>
        <v>52.477142857142859</v>
      </c>
      <c r="R15" s="315" t="str">
        <f t="shared" si="1"/>
        <v>NO</v>
      </c>
      <c r="S15" s="347" t="str">
        <f t="shared" si="2"/>
        <v>Alto</v>
      </c>
      <c r="T15" s="138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</row>
    <row r="16" spans="1:256" ht="32.1" customHeight="1">
      <c r="A16" s="452" t="s">
        <v>3767</v>
      </c>
      <c r="B16" s="324" t="s">
        <v>1559</v>
      </c>
      <c r="C16" s="318" t="s">
        <v>1568</v>
      </c>
      <c r="D16" s="399">
        <v>98</v>
      </c>
      <c r="E16" s="617"/>
      <c r="F16" s="617"/>
      <c r="G16" s="617"/>
      <c r="H16" s="617"/>
      <c r="I16" s="617"/>
      <c r="J16" s="618">
        <v>88</v>
      </c>
      <c r="K16" s="617"/>
      <c r="L16" s="617"/>
      <c r="M16" s="617"/>
      <c r="N16" s="617"/>
      <c r="O16" s="619">
        <v>64</v>
      </c>
      <c r="P16" s="617"/>
      <c r="Q16" s="620">
        <f t="shared" si="0"/>
        <v>76</v>
      </c>
      <c r="R16" s="315" t="str">
        <f t="shared" si="1"/>
        <v>NO</v>
      </c>
      <c r="S16" s="347" t="str">
        <f t="shared" si="2"/>
        <v>Alto</v>
      </c>
      <c r="T16" s="138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39"/>
    </row>
    <row r="17" spans="1:256" ht="32.1" customHeight="1">
      <c r="A17" s="452" t="s">
        <v>3767</v>
      </c>
      <c r="B17" s="324" t="s">
        <v>1569</v>
      </c>
      <c r="C17" s="318" t="s">
        <v>1570</v>
      </c>
      <c r="D17" s="399">
        <v>610</v>
      </c>
      <c r="E17" s="617"/>
      <c r="F17" s="622">
        <v>0</v>
      </c>
      <c r="G17" s="619">
        <v>36.14</v>
      </c>
      <c r="H17" s="617"/>
      <c r="I17" s="617"/>
      <c r="J17" s="621">
        <v>23.62</v>
      </c>
      <c r="K17" s="617"/>
      <c r="L17" s="623">
        <v>0</v>
      </c>
      <c r="M17" s="623">
        <v>0</v>
      </c>
      <c r="N17" s="623">
        <v>0</v>
      </c>
      <c r="O17" s="617"/>
      <c r="P17" s="621">
        <v>24</v>
      </c>
      <c r="Q17" s="620">
        <f t="shared" si="0"/>
        <v>11.965714285714286</v>
      </c>
      <c r="R17" s="315" t="str">
        <f t="shared" si="1"/>
        <v>NO</v>
      </c>
      <c r="S17" s="347" t="str">
        <f t="shared" si="2"/>
        <v>Bajo</v>
      </c>
      <c r="T17" s="138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39"/>
    </row>
    <row r="18" spans="1:256" ht="32.1" customHeight="1">
      <c r="A18" s="452" t="s">
        <v>3767</v>
      </c>
      <c r="B18" s="324" t="s">
        <v>1571</v>
      </c>
      <c r="C18" s="318" t="s">
        <v>1572</v>
      </c>
      <c r="D18" s="399">
        <v>30</v>
      </c>
      <c r="E18" s="617"/>
      <c r="F18" s="619">
        <v>36.14</v>
      </c>
      <c r="G18" s="617"/>
      <c r="H18" s="617"/>
      <c r="I18" s="617"/>
      <c r="J18" s="617"/>
      <c r="K18" s="617"/>
      <c r="L18" s="617"/>
      <c r="M18" s="617"/>
      <c r="N18" s="617"/>
      <c r="O18" s="617"/>
      <c r="P18" s="619">
        <v>64</v>
      </c>
      <c r="Q18" s="620">
        <f t="shared" si="0"/>
        <v>50.07</v>
      </c>
      <c r="R18" s="315" t="str">
        <f t="shared" si="1"/>
        <v>NO</v>
      </c>
      <c r="S18" s="347" t="str">
        <f t="shared" si="2"/>
        <v>Alto</v>
      </c>
      <c r="T18" s="138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 ht="32.1" customHeight="1">
      <c r="A19" s="452" t="s">
        <v>3767</v>
      </c>
      <c r="B19" s="324" t="s">
        <v>1573</v>
      </c>
      <c r="C19" s="318" t="s">
        <v>1574</v>
      </c>
      <c r="D19" s="399">
        <v>49</v>
      </c>
      <c r="E19" s="617"/>
      <c r="F19" s="617"/>
      <c r="G19" s="617"/>
      <c r="H19" s="617"/>
      <c r="I19" s="617"/>
      <c r="J19" s="618">
        <v>96.39</v>
      </c>
      <c r="K19" s="617"/>
      <c r="L19" s="617"/>
      <c r="M19" s="617"/>
      <c r="N19" s="617"/>
      <c r="O19" s="617"/>
      <c r="P19" s="619">
        <v>64</v>
      </c>
      <c r="Q19" s="620">
        <f t="shared" si="0"/>
        <v>80.194999999999993</v>
      </c>
      <c r="R19" s="315" t="str">
        <f t="shared" si="1"/>
        <v>NO</v>
      </c>
      <c r="S19" s="347" t="str">
        <f t="shared" si="2"/>
        <v>Inviable Sanitariamente</v>
      </c>
      <c r="T19" s="138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39"/>
    </row>
    <row r="20" spans="1:256" ht="32.1" customHeight="1">
      <c r="A20" s="452" t="s">
        <v>3767</v>
      </c>
      <c r="B20" s="324" t="s">
        <v>1575</v>
      </c>
      <c r="C20" s="349" t="s">
        <v>1909</v>
      </c>
      <c r="D20" s="399">
        <v>76</v>
      </c>
      <c r="E20" s="617"/>
      <c r="F20" s="617"/>
      <c r="G20" s="618">
        <v>96.39</v>
      </c>
      <c r="H20" s="617"/>
      <c r="I20" s="617"/>
      <c r="J20" s="617"/>
      <c r="K20" s="617"/>
      <c r="L20" s="617"/>
      <c r="M20" s="617"/>
      <c r="N20" s="617"/>
      <c r="O20" s="621">
        <v>24</v>
      </c>
      <c r="P20" s="617"/>
      <c r="Q20" s="620">
        <f t="shared" si="0"/>
        <v>60.195</v>
      </c>
      <c r="R20" s="315" t="str">
        <f t="shared" si="1"/>
        <v>NO</v>
      </c>
      <c r="S20" s="347" t="str">
        <f t="shared" si="2"/>
        <v>Alto</v>
      </c>
      <c r="T20" s="138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</row>
    <row r="21" spans="1:256" ht="32.1" customHeight="1">
      <c r="A21" s="452" t="s">
        <v>3767</v>
      </c>
      <c r="B21" s="324" t="s">
        <v>1576</v>
      </c>
      <c r="C21" s="318" t="s">
        <v>1577</v>
      </c>
      <c r="D21" s="399">
        <v>43</v>
      </c>
      <c r="E21" s="618">
        <v>96.39</v>
      </c>
      <c r="F21" s="617"/>
      <c r="G21" s="617"/>
      <c r="H21" s="617"/>
      <c r="I21" s="617"/>
      <c r="J21" s="617"/>
      <c r="K21" s="617"/>
      <c r="L21" s="617"/>
      <c r="M21" s="617"/>
      <c r="N21" s="619">
        <v>64</v>
      </c>
      <c r="O21" s="617"/>
      <c r="P21" s="617"/>
      <c r="Q21" s="620">
        <f t="shared" si="0"/>
        <v>80.194999999999993</v>
      </c>
      <c r="R21" s="315" t="str">
        <f t="shared" si="1"/>
        <v>NO</v>
      </c>
      <c r="S21" s="347" t="str">
        <f t="shared" si="2"/>
        <v>Inviable Sanitariamente</v>
      </c>
      <c r="T21" s="138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</row>
    <row r="22" spans="1:256" ht="32.1" customHeight="1">
      <c r="A22" s="452" t="s">
        <v>3767</v>
      </c>
      <c r="B22" s="324" t="s">
        <v>1578</v>
      </c>
      <c r="C22" s="318" t="s">
        <v>1579</v>
      </c>
      <c r="D22" s="399">
        <v>72</v>
      </c>
      <c r="E22" s="624"/>
      <c r="F22" s="617"/>
      <c r="G22" s="617"/>
      <c r="H22" s="617"/>
      <c r="I22" s="617"/>
      <c r="J22" s="617"/>
      <c r="K22" s="617"/>
      <c r="L22" s="617"/>
      <c r="M22" s="617"/>
      <c r="N22" s="619">
        <v>64</v>
      </c>
      <c r="O22" s="617"/>
      <c r="P22" s="621">
        <v>24</v>
      </c>
      <c r="Q22" s="620">
        <f t="shared" si="0"/>
        <v>44</v>
      </c>
      <c r="R22" s="315" t="str">
        <f t="shared" si="1"/>
        <v>NO</v>
      </c>
      <c r="S22" s="347" t="str">
        <f t="shared" si="2"/>
        <v>Alto</v>
      </c>
      <c r="T22" s="138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</row>
    <row r="23" spans="1:256" ht="32.1" customHeight="1">
      <c r="A23" s="452" t="s">
        <v>3767</v>
      </c>
      <c r="B23" s="324" t="s">
        <v>1580</v>
      </c>
      <c r="C23" s="318" t="s">
        <v>1581</v>
      </c>
      <c r="D23" s="399">
        <v>65</v>
      </c>
      <c r="E23" s="619">
        <v>36.14</v>
      </c>
      <c r="F23" s="617"/>
      <c r="G23" s="617"/>
      <c r="H23" s="617"/>
      <c r="I23" s="617"/>
      <c r="J23" s="617"/>
      <c r="K23" s="617"/>
      <c r="L23" s="617"/>
      <c r="M23" s="617"/>
      <c r="N23" s="619">
        <v>64</v>
      </c>
      <c r="O23" s="617"/>
      <c r="P23" s="617"/>
      <c r="Q23" s="620">
        <f t="shared" si="0"/>
        <v>50.07</v>
      </c>
      <c r="R23" s="315" t="str">
        <f t="shared" si="1"/>
        <v>NO</v>
      </c>
      <c r="S23" s="347" t="str">
        <f t="shared" si="2"/>
        <v>Alto</v>
      </c>
      <c r="T23" s="138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ht="32.1" customHeight="1">
      <c r="A24" s="452" t="s">
        <v>3767</v>
      </c>
      <c r="B24" s="324" t="s">
        <v>1582</v>
      </c>
      <c r="C24" s="349" t="s">
        <v>1910</v>
      </c>
      <c r="D24" s="399">
        <v>102</v>
      </c>
      <c r="E24" s="618">
        <v>96.39</v>
      </c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9">
        <v>70.8</v>
      </c>
      <c r="Q24" s="620">
        <f t="shared" si="0"/>
        <v>83.594999999999999</v>
      </c>
      <c r="R24" s="315" t="str">
        <f t="shared" si="1"/>
        <v>NO</v>
      </c>
      <c r="S24" s="347" t="str">
        <f t="shared" si="2"/>
        <v>Inviable Sanitariamente</v>
      </c>
      <c r="T24" s="138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 ht="32.1" customHeight="1">
      <c r="A25" s="452" t="s">
        <v>3767</v>
      </c>
      <c r="B25" s="324" t="s">
        <v>1583</v>
      </c>
      <c r="C25" s="350" t="s">
        <v>1911</v>
      </c>
      <c r="D25" s="399">
        <v>11</v>
      </c>
      <c r="E25" s="617"/>
      <c r="F25" s="617"/>
      <c r="G25" s="618">
        <v>96.39</v>
      </c>
      <c r="H25" s="617"/>
      <c r="I25" s="617"/>
      <c r="J25" s="617"/>
      <c r="K25" s="617"/>
      <c r="L25" s="617"/>
      <c r="M25" s="619">
        <v>64</v>
      </c>
      <c r="N25" s="617"/>
      <c r="O25" s="617"/>
      <c r="P25" s="617"/>
      <c r="Q25" s="620">
        <f t="shared" si="0"/>
        <v>80.194999999999993</v>
      </c>
      <c r="R25" s="315" t="str">
        <f t="shared" si="1"/>
        <v>NO</v>
      </c>
      <c r="S25" s="347" t="str">
        <f t="shared" si="2"/>
        <v>Inviable Sanitariamente</v>
      </c>
      <c r="T25" s="138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ht="32.1" customHeight="1">
      <c r="A26" s="452" t="s">
        <v>3767</v>
      </c>
      <c r="B26" s="324" t="s">
        <v>1584</v>
      </c>
      <c r="C26" s="349" t="s">
        <v>1912</v>
      </c>
      <c r="D26" s="399">
        <v>34</v>
      </c>
      <c r="E26" s="617"/>
      <c r="F26" s="617"/>
      <c r="G26" s="618">
        <v>96.39</v>
      </c>
      <c r="H26" s="617"/>
      <c r="I26" s="617"/>
      <c r="J26" s="617"/>
      <c r="K26" s="617"/>
      <c r="L26" s="617"/>
      <c r="M26" s="619">
        <v>64</v>
      </c>
      <c r="N26" s="617"/>
      <c r="O26" s="617"/>
      <c r="P26" s="617"/>
      <c r="Q26" s="620">
        <f t="shared" si="0"/>
        <v>80.194999999999993</v>
      </c>
      <c r="R26" s="315" t="str">
        <f t="shared" si="1"/>
        <v>NO</v>
      </c>
      <c r="S26" s="347" t="str">
        <f t="shared" si="2"/>
        <v>Inviable Sanitariamente</v>
      </c>
      <c r="T26" s="138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 ht="32.1" customHeight="1">
      <c r="A27" s="452" t="s">
        <v>3767</v>
      </c>
      <c r="B27" s="324" t="s">
        <v>1585</v>
      </c>
      <c r="C27" s="349" t="s">
        <v>1913</v>
      </c>
      <c r="D27" s="399">
        <v>210</v>
      </c>
      <c r="E27" s="617"/>
      <c r="F27" s="618">
        <v>96.39</v>
      </c>
      <c r="G27" s="617"/>
      <c r="H27" s="617"/>
      <c r="I27" s="617"/>
      <c r="J27" s="617"/>
      <c r="K27" s="617"/>
      <c r="L27" s="617"/>
      <c r="M27" s="619">
        <v>53.1</v>
      </c>
      <c r="N27" s="618">
        <v>97.6</v>
      </c>
      <c r="O27" s="618">
        <v>97.6</v>
      </c>
      <c r="P27" s="617"/>
      <c r="Q27" s="620">
        <f t="shared" si="0"/>
        <v>86.172499999999999</v>
      </c>
      <c r="R27" s="315" t="str">
        <f t="shared" si="1"/>
        <v>NO</v>
      </c>
      <c r="S27" s="347" t="str">
        <f t="shared" si="2"/>
        <v>Inviable Sanitariamente</v>
      </c>
      <c r="T27" s="138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 ht="32.1" customHeight="1">
      <c r="A28" s="452" t="s">
        <v>3767</v>
      </c>
      <c r="B28" s="324" t="s">
        <v>413</v>
      </c>
      <c r="C28" s="349" t="s">
        <v>1914</v>
      </c>
      <c r="D28" s="399">
        <v>25</v>
      </c>
      <c r="E28" s="617"/>
      <c r="F28" s="617"/>
      <c r="G28" s="617"/>
      <c r="H28" s="618">
        <v>96.39</v>
      </c>
      <c r="I28" s="617"/>
      <c r="J28" s="617"/>
      <c r="K28" s="617"/>
      <c r="L28" s="617"/>
      <c r="M28" s="617"/>
      <c r="N28" s="617"/>
      <c r="O28" s="617"/>
      <c r="P28" s="619">
        <v>70.8</v>
      </c>
      <c r="Q28" s="620">
        <f t="shared" si="0"/>
        <v>83.594999999999999</v>
      </c>
      <c r="R28" s="315" t="str">
        <f t="shared" si="1"/>
        <v>NO</v>
      </c>
      <c r="S28" s="347" t="str">
        <f t="shared" si="2"/>
        <v>Inviable Sanitariamente</v>
      </c>
      <c r="T28" s="138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ht="32.1" customHeight="1">
      <c r="A29" s="452" t="s">
        <v>3767</v>
      </c>
      <c r="B29" s="324" t="s">
        <v>1586</v>
      </c>
      <c r="C29" s="349" t="s">
        <v>1915</v>
      </c>
      <c r="D29" s="399">
        <v>138</v>
      </c>
      <c r="E29" s="618">
        <v>96.39</v>
      </c>
      <c r="F29" s="617"/>
      <c r="G29" s="617"/>
      <c r="H29" s="617"/>
      <c r="I29" s="617"/>
      <c r="J29" s="617"/>
      <c r="K29" s="617"/>
      <c r="L29" s="617"/>
      <c r="M29" s="617"/>
      <c r="N29" s="617"/>
      <c r="O29" s="618">
        <v>97.6</v>
      </c>
      <c r="P29" s="617"/>
      <c r="Q29" s="620">
        <f t="shared" si="0"/>
        <v>96.995000000000005</v>
      </c>
      <c r="R29" s="315" t="str">
        <f t="shared" si="1"/>
        <v>NO</v>
      </c>
      <c r="S29" s="347" t="str">
        <f t="shared" si="2"/>
        <v>Inviable Sanitariamente</v>
      </c>
      <c r="T29" s="138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 ht="32.1" customHeight="1">
      <c r="A30" s="452" t="s">
        <v>3767</v>
      </c>
      <c r="B30" s="324" t="s">
        <v>1586</v>
      </c>
      <c r="C30" s="318" t="s">
        <v>1587</v>
      </c>
      <c r="D30" s="399">
        <v>96</v>
      </c>
      <c r="E30" s="618">
        <v>96.39</v>
      </c>
      <c r="F30" s="617"/>
      <c r="G30" s="617"/>
      <c r="H30" s="617"/>
      <c r="I30" s="617"/>
      <c r="J30" s="617"/>
      <c r="K30" s="617"/>
      <c r="L30" s="617"/>
      <c r="M30" s="617"/>
      <c r="N30" s="617"/>
      <c r="O30" s="618">
        <v>88</v>
      </c>
      <c r="P30" s="617"/>
      <c r="Q30" s="620">
        <f t="shared" si="0"/>
        <v>92.194999999999993</v>
      </c>
      <c r="R30" s="315" t="str">
        <f t="shared" si="1"/>
        <v>NO</v>
      </c>
      <c r="S30" s="347" t="str">
        <f t="shared" si="2"/>
        <v>Inviable Sanitariamente</v>
      </c>
      <c r="T30" s="138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  <c r="IT30" s="139"/>
      <c r="IU30" s="139"/>
      <c r="IV30" s="139"/>
    </row>
    <row r="31" spans="1:256" ht="32.1" customHeight="1">
      <c r="A31" s="452" t="s">
        <v>3767</v>
      </c>
      <c r="B31" s="324" t="s">
        <v>1588</v>
      </c>
      <c r="C31" s="318" t="s">
        <v>1589</v>
      </c>
      <c r="D31" s="399">
        <v>81</v>
      </c>
      <c r="E31" s="617"/>
      <c r="F31" s="617"/>
      <c r="G31" s="617"/>
      <c r="H31" s="618">
        <v>96.39</v>
      </c>
      <c r="I31" s="617"/>
      <c r="J31" s="617"/>
      <c r="K31" s="617"/>
      <c r="L31" s="617"/>
      <c r="M31" s="617"/>
      <c r="N31" s="617"/>
      <c r="O31" s="617"/>
      <c r="P31" s="617"/>
      <c r="Q31" s="620">
        <f t="shared" si="0"/>
        <v>96.39</v>
      </c>
      <c r="R31" s="315" t="str">
        <f t="shared" si="1"/>
        <v>NO</v>
      </c>
      <c r="S31" s="347" t="str">
        <f t="shared" si="2"/>
        <v>Inviable Sanitariamente</v>
      </c>
      <c r="T31" s="138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 ht="32.1" customHeight="1">
      <c r="A32" s="452" t="s">
        <v>3767</v>
      </c>
      <c r="B32" s="324" t="s">
        <v>1590</v>
      </c>
      <c r="C32" s="348" t="s">
        <v>1916</v>
      </c>
      <c r="D32" s="399">
        <v>30</v>
      </c>
      <c r="E32" s="617"/>
      <c r="F32" s="617"/>
      <c r="G32" s="617"/>
      <c r="H32" s="625">
        <v>36.14</v>
      </c>
      <c r="I32" s="617"/>
      <c r="J32" s="617"/>
      <c r="K32" s="617"/>
      <c r="L32" s="617"/>
      <c r="M32" s="617"/>
      <c r="N32" s="617"/>
      <c r="O32" s="617"/>
      <c r="P32" s="618">
        <v>88</v>
      </c>
      <c r="Q32" s="620">
        <f t="shared" si="0"/>
        <v>62.07</v>
      </c>
      <c r="R32" s="315" t="str">
        <f t="shared" si="1"/>
        <v>NO</v>
      </c>
      <c r="S32" s="347" t="str">
        <f t="shared" si="2"/>
        <v>Alto</v>
      </c>
      <c r="T32" s="138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 ht="32.1" customHeight="1">
      <c r="A33" s="452" t="s">
        <v>3767</v>
      </c>
      <c r="B33" s="324" t="s">
        <v>1591</v>
      </c>
      <c r="C33" s="348" t="s">
        <v>1917</v>
      </c>
      <c r="D33" s="399">
        <v>32</v>
      </c>
      <c r="E33" s="617"/>
      <c r="F33" s="617"/>
      <c r="G33" s="617"/>
      <c r="H33" s="618">
        <v>96.39</v>
      </c>
      <c r="I33" s="617"/>
      <c r="J33" s="617"/>
      <c r="K33" s="617"/>
      <c r="L33" s="617"/>
      <c r="M33" s="617"/>
      <c r="N33" s="617"/>
      <c r="O33" s="617"/>
      <c r="P33" s="618">
        <v>97.35</v>
      </c>
      <c r="Q33" s="620">
        <f t="shared" si="0"/>
        <v>96.87</v>
      </c>
      <c r="R33" s="315" t="str">
        <f t="shared" si="1"/>
        <v>NO</v>
      </c>
      <c r="S33" s="347" t="str">
        <f t="shared" si="2"/>
        <v>Inviable Sanitariamente</v>
      </c>
      <c r="T33" s="138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:256" ht="32.1" customHeight="1">
      <c r="A34" s="452" t="s">
        <v>3767</v>
      </c>
      <c r="B34" s="324" t="s">
        <v>1592</v>
      </c>
      <c r="C34" s="349" t="s">
        <v>1918</v>
      </c>
      <c r="D34" s="399">
        <v>50</v>
      </c>
      <c r="E34" s="617"/>
      <c r="F34" s="618">
        <v>96.39</v>
      </c>
      <c r="G34" s="617"/>
      <c r="H34" s="617"/>
      <c r="I34" s="617"/>
      <c r="J34" s="617"/>
      <c r="K34" s="617"/>
      <c r="L34" s="617"/>
      <c r="M34" s="617"/>
      <c r="N34" s="619">
        <v>64</v>
      </c>
      <c r="O34" s="617"/>
      <c r="P34" s="617"/>
      <c r="Q34" s="620">
        <f t="shared" si="0"/>
        <v>80.194999999999993</v>
      </c>
      <c r="R34" s="315" t="str">
        <f t="shared" si="1"/>
        <v>NO</v>
      </c>
      <c r="S34" s="347" t="str">
        <f t="shared" si="2"/>
        <v>Inviable Sanitariamente</v>
      </c>
      <c r="T34" s="138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  <c r="IT34" s="139"/>
      <c r="IU34" s="139"/>
      <c r="IV34" s="139"/>
    </row>
    <row r="35" spans="1:256" ht="32.1" customHeight="1">
      <c r="A35" s="452" t="s">
        <v>3767</v>
      </c>
      <c r="B35" s="324" t="s">
        <v>1593</v>
      </c>
      <c r="C35" s="350" t="s">
        <v>1919</v>
      </c>
      <c r="D35" s="399">
        <v>24</v>
      </c>
      <c r="E35" s="617"/>
      <c r="F35" s="617"/>
      <c r="G35" s="617"/>
      <c r="H35" s="618">
        <v>96.39</v>
      </c>
      <c r="I35" s="617"/>
      <c r="J35" s="617"/>
      <c r="K35" s="617"/>
      <c r="L35" s="617"/>
      <c r="M35" s="617"/>
      <c r="N35" s="617"/>
      <c r="O35" s="617"/>
      <c r="P35" s="618">
        <v>97.35</v>
      </c>
      <c r="Q35" s="620">
        <f t="shared" si="0"/>
        <v>96.87</v>
      </c>
      <c r="R35" s="315" t="str">
        <f t="shared" si="1"/>
        <v>NO</v>
      </c>
      <c r="S35" s="347" t="str">
        <f t="shared" si="2"/>
        <v>Inviable Sanitariamente</v>
      </c>
      <c r="T35" s="138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139"/>
      <c r="IV35" s="139"/>
    </row>
    <row r="36" spans="1:256" ht="32.1" customHeight="1">
      <c r="A36" s="452" t="s">
        <v>3767</v>
      </c>
      <c r="B36" s="324" t="s">
        <v>1594</v>
      </c>
      <c r="C36" s="350" t="s">
        <v>1920</v>
      </c>
      <c r="D36" s="399">
        <v>700</v>
      </c>
      <c r="E36" s="618">
        <v>96.39</v>
      </c>
      <c r="F36" s="617"/>
      <c r="G36" s="618">
        <v>96.39</v>
      </c>
      <c r="H36" s="617"/>
      <c r="I36" s="617"/>
      <c r="J36" s="617"/>
      <c r="K36" s="617"/>
      <c r="L36" s="617"/>
      <c r="M36" s="617"/>
      <c r="N36" s="618">
        <v>97.6</v>
      </c>
      <c r="O36" s="618">
        <v>88</v>
      </c>
      <c r="P36" s="618">
        <v>97.35</v>
      </c>
      <c r="Q36" s="620">
        <f t="shared" si="0"/>
        <v>95.146000000000001</v>
      </c>
      <c r="R36" s="315" t="str">
        <f t="shared" si="1"/>
        <v>NO</v>
      </c>
      <c r="S36" s="347" t="str">
        <f t="shared" si="2"/>
        <v>Inviable Sanitariamente</v>
      </c>
      <c r="T36" s="138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139"/>
      <c r="IV36" s="139"/>
    </row>
    <row r="37" spans="1:256" ht="32.1" customHeight="1">
      <c r="A37" s="452" t="s">
        <v>3767</v>
      </c>
      <c r="B37" s="324" t="s">
        <v>1595</v>
      </c>
      <c r="C37" s="318" t="s">
        <v>1921</v>
      </c>
      <c r="D37" s="399">
        <v>366</v>
      </c>
      <c r="E37" s="617"/>
      <c r="F37" s="619">
        <v>36.14</v>
      </c>
      <c r="G37" s="617"/>
      <c r="H37" s="617"/>
      <c r="I37" s="617"/>
      <c r="J37" s="618">
        <v>96.39</v>
      </c>
      <c r="K37" s="617"/>
      <c r="L37" s="617"/>
      <c r="M37" s="617"/>
      <c r="N37" s="617"/>
      <c r="O37" s="618">
        <v>88</v>
      </c>
      <c r="P37" s="617"/>
      <c r="Q37" s="620">
        <f t="shared" si="0"/>
        <v>73.510000000000005</v>
      </c>
      <c r="R37" s="315" t="str">
        <f t="shared" si="1"/>
        <v>NO</v>
      </c>
      <c r="S37" s="347" t="str">
        <f t="shared" si="2"/>
        <v>Alto</v>
      </c>
      <c r="T37" s="138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139"/>
      <c r="IV37" s="139"/>
    </row>
    <row r="38" spans="1:256" ht="32.1" customHeight="1">
      <c r="A38" s="452" t="s">
        <v>3767</v>
      </c>
      <c r="B38" s="324" t="s">
        <v>2</v>
      </c>
      <c r="C38" s="318" t="s">
        <v>1922</v>
      </c>
      <c r="D38" s="399">
        <v>90</v>
      </c>
      <c r="E38" s="617"/>
      <c r="F38" s="618">
        <v>96.39</v>
      </c>
      <c r="G38" s="617"/>
      <c r="H38" s="617"/>
      <c r="I38" s="617"/>
      <c r="J38" s="617"/>
      <c r="K38" s="617"/>
      <c r="L38" s="617"/>
      <c r="M38" s="617"/>
      <c r="N38" s="619">
        <v>24</v>
      </c>
      <c r="O38" s="617"/>
      <c r="P38" s="617"/>
      <c r="Q38" s="620">
        <f t="shared" si="0"/>
        <v>60.195</v>
      </c>
      <c r="R38" s="315" t="str">
        <f t="shared" si="1"/>
        <v>NO</v>
      </c>
      <c r="S38" s="347" t="str">
        <f t="shared" si="2"/>
        <v>Alto</v>
      </c>
      <c r="T38" s="138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  <c r="IV38" s="139"/>
    </row>
    <row r="39" spans="1:256" ht="32.1" customHeight="1">
      <c r="A39" s="452" t="s">
        <v>3767</v>
      </c>
      <c r="B39" s="324" t="s">
        <v>2</v>
      </c>
      <c r="C39" s="349" t="s">
        <v>1923</v>
      </c>
      <c r="D39" s="399">
        <v>256</v>
      </c>
      <c r="E39" s="617"/>
      <c r="F39" s="618">
        <v>96.39</v>
      </c>
      <c r="G39" s="617"/>
      <c r="H39" s="617"/>
      <c r="I39" s="617"/>
      <c r="J39" s="625">
        <v>53.1</v>
      </c>
      <c r="K39" s="617"/>
      <c r="L39" s="617"/>
      <c r="M39" s="617"/>
      <c r="N39" s="619">
        <v>48</v>
      </c>
      <c r="O39" s="619">
        <v>64</v>
      </c>
      <c r="P39" s="617"/>
      <c r="Q39" s="620">
        <f t="shared" si="0"/>
        <v>65.372500000000002</v>
      </c>
      <c r="R39" s="315" t="str">
        <f t="shared" si="1"/>
        <v>NO</v>
      </c>
      <c r="S39" s="347" t="str">
        <f t="shared" si="2"/>
        <v>Alto</v>
      </c>
      <c r="T39" s="138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  <c r="IV39" s="139"/>
    </row>
    <row r="40" spans="1:256" ht="32.1" customHeight="1">
      <c r="A40" s="452" t="s">
        <v>3767</v>
      </c>
      <c r="B40" s="324" t="s">
        <v>1596</v>
      </c>
      <c r="C40" s="349" t="s">
        <v>1924</v>
      </c>
      <c r="D40" s="399">
        <v>208</v>
      </c>
      <c r="E40" s="617"/>
      <c r="F40" s="617"/>
      <c r="G40" s="624"/>
      <c r="H40" s="617"/>
      <c r="I40" s="624"/>
      <c r="J40" s="618">
        <v>97.35</v>
      </c>
      <c r="K40" s="617"/>
      <c r="L40" s="617"/>
      <c r="M40" s="617"/>
      <c r="N40" s="617"/>
      <c r="O40" s="617"/>
      <c r="P40" s="618">
        <v>97.35</v>
      </c>
      <c r="Q40" s="620">
        <f t="shared" si="0"/>
        <v>97.35</v>
      </c>
      <c r="R40" s="315" t="str">
        <f t="shared" si="1"/>
        <v>NO</v>
      </c>
      <c r="S40" s="347" t="str">
        <f t="shared" si="2"/>
        <v>Inviable Sanitariamente</v>
      </c>
      <c r="T40" s="138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  <c r="IV40" s="139"/>
    </row>
    <row r="41" spans="1:256" ht="32.1" customHeight="1">
      <c r="A41" s="452" t="s">
        <v>3767</v>
      </c>
      <c r="B41" s="324" t="s">
        <v>1597</v>
      </c>
      <c r="C41" s="318" t="s">
        <v>1598</v>
      </c>
      <c r="D41" s="399">
        <v>21</v>
      </c>
      <c r="E41" s="617"/>
      <c r="F41" s="618">
        <v>96.39</v>
      </c>
      <c r="G41" s="617"/>
      <c r="H41" s="617"/>
      <c r="I41" s="617"/>
      <c r="J41" s="617"/>
      <c r="K41" s="617"/>
      <c r="L41" s="617"/>
      <c r="M41" s="617"/>
      <c r="N41" s="617"/>
      <c r="O41" s="617"/>
      <c r="P41" s="619">
        <v>64</v>
      </c>
      <c r="Q41" s="620">
        <f t="shared" si="0"/>
        <v>80.194999999999993</v>
      </c>
      <c r="R41" s="315" t="str">
        <f t="shared" si="1"/>
        <v>NO</v>
      </c>
      <c r="S41" s="347" t="str">
        <f t="shared" si="2"/>
        <v>Inviable Sanitariamente</v>
      </c>
      <c r="T41" s="138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  <c r="IU41" s="139"/>
      <c r="IV41" s="139"/>
    </row>
    <row r="42" spans="1:256" ht="32.1" customHeight="1">
      <c r="A42" s="452" t="s">
        <v>3767</v>
      </c>
      <c r="B42" s="324" t="s">
        <v>1599</v>
      </c>
      <c r="C42" s="349" t="s">
        <v>4336</v>
      </c>
      <c r="D42" s="399">
        <v>93</v>
      </c>
      <c r="E42" s="617"/>
      <c r="F42" s="617"/>
      <c r="G42" s="618">
        <v>96.39</v>
      </c>
      <c r="H42" s="617"/>
      <c r="I42" s="617"/>
      <c r="J42" s="617"/>
      <c r="K42" s="617"/>
      <c r="L42" s="619">
        <v>55.75</v>
      </c>
      <c r="M42" s="617"/>
      <c r="N42" s="617"/>
      <c r="O42" s="617"/>
      <c r="P42" s="368"/>
      <c r="Q42" s="620">
        <f t="shared" si="0"/>
        <v>76.069999999999993</v>
      </c>
      <c r="R42" s="315" t="str">
        <f t="shared" si="1"/>
        <v>NO</v>
      </c>
      <c r="S42" s="347" t="str">
        <f t="shared" si="2"/>
        <v>Alto</v>
      </c>
      <c r="T42" s="138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  <c r="IV42" s="139"/>
    </row>
    <row r="43" spans="1:256" ht="32.1" customHeight="1">
      <c r="A43" s="452" t="s">
        <v>3767</v>
      </c>
      <c r="B43" s="324" t="s">
        <v>1600</v>
      </c>
      <c r="C43" s="349" t="s">
        <v>1925</v>
      </c>
      <c r="D43" s="399">
        <v>40</v>
      </c>
      <c r="E43" s="617"/>
      <c r="F43" s="617"/>
      <c r="G43" s="618">
        <v>96.39</v>
      </c>
      <c r="H43" s="617"/>
      <c r="I43" s="617"/>
      <c r="J43" s="617"/>
      <c r="K43" s="617"/>
      <c r="L43" s="617"/>
      <c r="M43" s="617"/>
      <c r="N43" s="617"/>
      <c r="O43" s="617"/>
      <c r="P43" s="368"/>
      <c r="Q43" s="620">
        <f t="shared" si="0"/>
        <v>96.39</v>
      </c>
      <c r="R43" s="315" t="str">
        <f t="shared" ref="R43:R72" si="3">IF(Q43&lt;5,"SI","NO")</f>
        <v>NO</v>
      </c>
      <c r="S43" s="347" t="str">
        <f t="shared" si="2"/>
        <v>Inviable Sanitariamente</v>
      </c>
      <c r="T43" s="138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  <c r="IT43" s="139"/>
      <c r="IU43" s="139"/>
      <c r="IV43" s="139"/>
    </row>
    <row r="44" spans="1:256" ht="32.1" customHeight="1">
      <c r="A44" s="452" t="s">
        <v>3767</v>
      </c>
      <c r="B44" s="324" t="s">
        <v>1601</v>
      </c>
      <c r="C44" s="318" t="s">
        <v>1602</v>
      </c>
      <c r="D44" s="399">
        <v>128</v>
      </c>
      <c r="E44" s="617"/>
      <c r="F44" s="617"/>
      <c r="G44" s="617"/>
      <c r="H44" s="617"/>
      <c r="I44" s="617"/>
      <c r="J44" s="619">
        <v>70.8</v>
      </c>
      <c r="K44" s="617"/>
      <c r="L44" s="617"/>
      <c r="M44" s="617"/>
      <c r="N44" s="617"/>
      <c r="O44" s="617"/>
      <c r="P44" s="368"/>
      <c r="Q44" s="620">
        <f t="shared" si="0"/>
        <v>70.8</v>
      </c>
      <c r="R44" s="315" t="str">
        <f t="shared" si="3"/>
        <v>NO</v>
      </c>
      <c r="S44" s="347" t="str">
        <f t="shared" si="2"/>
        <v>Alto</v>
      </c>
      <c r="T44" s="138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39"/>
      <c r="IU44" s="139"/>
      <c r="IV44" s="139"/>
    </row>
    <row r="45" spans="1:256" ht="32.1" customHeight="1">
      <c r="A45" s="452" t="s">
        <v>159</v>
      </c>
      <c r="B45" s="324" t="s">
        <v>56</v>
      </c>
      <c r="C45" s="318" t="s">
        <v>1603</v>
      </c>
      <c r="D45" s="346">
        <v>940</v>
      </c>
      <c r="E45" s="445"/>
      <c r="F45" s="445"/>
      <c r="G45" s="445"/>
      <c r="H45" s="445"/>
      <c r="I45" s="445"/>
      <c r="J45" s="445"/>
      <c r="K45" s="445"/>
      <c r="L45" s="445"/>
      <c r="M45" s="445"/>
      <c r="N45" s="445">
        <v>76.92</v>
      </c>
      <c r="O45" s="445"/>
      <c r="P45" s="445"/>
      <c r="Q45" s="620">
        <f t="shared" si="0"/>
        <v>76.92</v>
      </c>
      <c r="R45" s="315" t="str">
        <f t="shared" si="3"/>
        <v>NO</v>
      </c>
      <c r="S45" s="347" t="str">
        <f t="shared" si="2"/>
        <v>Alto</v>
      </c>
      <c r="T45" s="15"/>
    </row>
    <row r="46" spans="1:256" ht="32.1" customHeight="1">
      <c r="A46" s="452" t="s">
        <v>159</v>
      </c>
      <c r="B46" s="324" t="s">
        <v>1604</v>
      </c>
      <c r="C46" s="318" t="s">
        <v>1605</v>
      </c>
      <c r="D46" s="346">
        <v>410</v>
      </c>
      <c r="E46" s="445"/>
      <c r="F46" s="445"/>
      <c r="G46" s="445"/>
      <c r="H46" s="445">
        <v>97.35</v>
      </c>
      <c r="I46" s="445"/>
      <c r="J46" s="445"/>
      <c r="K46" s="445"/>
      <c r="L46" s="445"/>
      <c r="M46" s="445"/>
      <c r="N46" s="445"/>
      <c r="O46" s="445"/>
      <c r="P46" s="445"/>
      <c r="Q46" s="620">
        <f t="shared" si="0"/>
        <v>97.35</v>
      </c>
      <c r="R46" s="315" t="str">
        <f t="shared" si="3"/>
        <v>NO</v>
      </c>
      <c r="S46" s="347" t="str">
        <f t="shared" si="2"/>
        <v>Inviable Sanitariamente</v>
      </c>
      <c r="T46" s="15"/>
    </row>
    <row r="47" spans="1:256" ht="32.1" customHeight="1">
      <c r="A47" s="452" t="s">
        <v>159</v>
      </c>
      <c r="B47" s="351" t="s">
        <v>1606</v>
      </c>
      <c r="C47" s="350" t="s">
        <v>1607</v>
      </c>
      <c r="D47" s="346">
        <v>150</v>
      </c>
      <c r="E47" s="445"/>
      <c r="F47" s="445"/>
      <c r="G47" s="445"/>
      <c r="H47" s="445"/>
      <c r="I47" s="445">
        <v>97.35</v>
      </c>
      <c r="J47" s="445"/>
      <c r="K47" s="445"/>
      <c r="L47" s="445"/>
      <c r="M47" s="445"/>
      <c r="N47" s="445"/>
      <c r="O47" s="445"/>
      <c r="P47" s="445"/>
      <c r="Q47" s="620">
        <f t="shared" si="0"/>
        <v>97.35</v>
      </c>
      <c r="R47" s="315" t="str">
        <f t="shared" si="3"/>
        <v>NO</v>
      </c>
      <c r="S47" s="347" t="str">
        <f t="shared" si="2"/>
        <v>Inviable Sanitariamente</v>
      </c>
      <c r="T47" s="15"/>
    </row>
    <row r="48" spans="1:256" ht="32.1" customHeight="1">
      <c r="A48" s="452" t="s">
        <v>159</v>
      </c>
      <c r="B48" s="344" t="s">
        <v>1608</v>
      </c>
      <c r="C48" s="349" t="s">
        <v>1609</v>
      </c>
      <c r="D48" s="346">
        <v>160</v>
      </c>
      <c r="E48" s="445"/>
      <c r="F48" s="445"/>
      <c r="G48" s="445"/>
      <c r="H48" s="445"/>
      <c r="I48" s="445"/>
      <c r="J48" s="445"/>
      <c r="K48" s="445"/>
      <c r="L48" s="445">
        <v>26.55</v>
      </c>
      <c r="M48" s="445"/>
      <c r="N48" s="445"/>
      <c r="O48" s="626"/>
      <c r="P48" s="445"/>
      <c r="Q48" s="627">
        <f>AVERAGE(E48:P48)</f>
        <v>26.55</v>
      </c>
      <c r="R48" s="315" t="str">
        <f t="shared" si="3"/>
        <v>NO</v>
      </c>
      <c r="S48" s="347" t="str">
        <f t="shared" si="2"/>
        <v>Medio</v>
      </c>
      <c r="T48" s="15"/>
    </row>
    <row r="49" spans="1:20" ht="32.1" customHeight="1">
      <c r="A49" s="452" t="s">
        <v>159</v>
      </c>
      <c r="B49" s="344" t="s">
        <v>1610</v>
      </c>
      <c r="C49" s="349" t="s">
        <v>1611</v>
      </c>
      <c r="D49" s="346">
        <v>33</v>
      </c>
      <c r="E49" s="445"/>
      <c r="F49" s="445"/>
      <c r="G49" s="445"/>
      <c r="H49" s="445"/>
      <c r="I49" s="445"/>
      <c r="J49" s="445"/>
      <c r="K49" s="445"/>
      <c r="L49" s="445">
        <v>97.35</v>
      </c>
      <c r="M49" s="445"/>
      <c r="N49" s="445"/>
      <c r="O49" s="445"/>
      <c r="P49" s="445"/>
      <c r="Q49" s="627">
        <f t="shared" si="0"/>
        <v>97.35</v>
      </c>
      <c r="R49" s="315" t="str">
        <f t="shared" si="3"/>
        <v>NO</v>
      </c>
      <c r="S49" s="347" t="str">
        <f t="shared" si="2"/>
        <v>Inviable Sanitariamente</v>
      </c>
      <c r="T49" s="15"/>
    </row>
    <row r="50" spans="1:20" ht="32.1" customHeight="1">
      <c r="A50" s="452" t="s">
        <v>159</v>
      </c>
      <c r="B50" s="344" t="s">
        <v>1612</v>
      </c>
      <c r="C50" s="349" t="s">
        <v>1613</v>
      </c>
      <c r="D50" s="346">
        <v>1350</v>
      </c>
      <c r="E50" s="445"/>
      <c r="F50" s="445"/>
      <c r="G50" s="445"/>
      <c r="H50" s="445"/>
      <c r="I50" s="445"/>
      <c r="J50" s="445"/>
      <c r="K50" s="445"/>
      <c r="L50" s="628">
        <v>97.9</v>
      </c>
      <c r="M50" s="445"/>
      <c r="N50" s="445"/>
      <c r="O50" s="445"/>
      <c r="P50" s="445"/>
      <c r="Q50" s="627">
        <f t="shared" ref="Q50:Q55" si="4">AVERAGE(E50:P50)</f>
        <v>97.9</v>
      </c>
      <c r="R50" s="315" t="str">
        <f t="shared" si="3"/>
        <v>NO</v>
      </c>
      <c r="S50" s="347" t="str">
        <f t="shared" si="2"/>
        <v>Inviable Sanitariamente</v>
      </c>
      <c r="T50" s="15"/>
    </row>
    <row r="51" spans="1:20" ht="32.1" customHeight="1">
      <c r="A51" s="595" t="s">
        <v>159</v>
      </c>
      <c r="B51" s="586" t="s">
        <v>1614</v>
      </c>
      <c r="C51" s="596" t="s">
        <v>1894</v>
      </c>
      <c r="D51" s="304">
        <v>102</v>
      </c>
      <c r="E51" s="368"/>
      <c r="F51" s="368"/>
      <c r="G51" s="368"/>
      <c r="H51" s="368"/>
      <c r="I51" s="368"/>
      <c r="J51" s="368"/>
      <c r="K51" s="368">
        <v>88.67</v>
      </c>
      <c r="L51" s="368"/>
      <c r="M51" s="368"/>
      <c r="N51" s="629"/>
      <c r="O51" s="368"/>
      <c r="P51" s="368"/>
      <c r="Q51" s="627">
        <f t="shared" si="4"/>
        <v>88.67</v>
      </c>
      <c r="R51" s="315" t="str">
        <f t="shared" si="3"/>
        <v>NO</v>
      </c>
      <c r="S51" s="347" t="str">
        <f t="shared" si="2"/>
        <v>Inviable Sanitariamente</v>
      </c>
      <c r="T51" s="15"/>
    </row>
    <row r="52" spans="1:20" ht="32.1" customHeight="1">
      <c r="A52" s="597" t="s">
        <v>159</v>
      </c>
      <c r="B52" s="595" t="s">
        <v>652</v>
      </c>
      <c r="C52" s="598" t="s">
        <v>1895</v>
      </c>
      <c r="D52" s="399">
        <v>126</v>
      </c>
      <c r="E52" s="445"/>
      <c r="F52" s="445"/>
      <c r="G52" s="445"/>
      <c r="H52" s="445"/>
      <c r="I52" s="445">
        <v>53.1</v>
      </c>
      <c r="J52" s="445"/>
      <c r="K52" s="445"/>
      <c r="L52" s="445"/>
      <c r="M52" s="445"/>
      <c r="N52" s="626"/>
      <c r="O52" s="445"/>
      <c r="P52" s="445"/>
      <c r="Q52" s="627">
        <f t="shared" si="4"/>
        <v>53.1</v>
      </c>
      <c r="R52" s="315" t="str">
        <f t="shared" si="3"/>
        <v>NO</v>
      </c>
      <c r="S52" s="347" t="str">
        <f t="shared" si="2"/>
        <v>Alto</v>
      </c>
      <c r="T52" s="15"/>
    </row>
    <row r="53" spans="1:20" ht="32.1" customHeight="1">
      <c r="A53" s="597" t="s">
        <v>159</v>
      </c>
      <c r="B53" s="595" t="s">
        <v>1615</v>
      </c>
      <c r="C53" s="598" t="s">
        <v>1616</v>
      </c>
      <c r="D53" s="346">
        <v>1350</v>
      </c>
      <c r="E53" s="445"/>
      <c r="F53" s="445"/>
      <c r="G53" s="445"/>
      <c r="H53" s="445"/>
      <c r="I53" s="445"/>
      <c r="J53" s="445"/>
      <c r="K53" s="445"/>
      <c r="L53" s="628"/>
      <c r="M53" s="445"/>
      <c r="N53" s="445">
        <v>76.92</v>
      </c>
      <c r="O53" s="445"/>
      <c r="P53" s="445"/>
      <c r="Q53" s="627">
        <f t="shared" si="4"/>
        <v>76.92</v>
      </c>
      <c r="R53" s="315" t="str">
        <f t="shared" si="3"/>
        <v>NO</v>
      </c>
      <c r="S53" s="347" t="str">
        <f t="shared" si="2"/>
        <v>Alto</v>
      </c>
      <c r="T53" s="15"/>
    </row>
    <row r="54" spans="1:20" ht="32.1" customHeight="1">
      <c r="A54" s="595" t="s">
        <v>159</v>
      </c>
      <c r="B54" s="595" t="s">
        <v>1102</v>
      </c>
      <c r="C54" s="598" t="s">
        <v>1896</v>
      </c>
      <c r="D54" s="304">
        <v>45</v>
      </c>
      <c r="E54" s="368"/>
      <c r="F54" s="368"/>
      <c r="G54" s="368"/>
      <c r="H54" s="368"/>
      <c r="I54" s="368"/>
      <c r="J54" s="368"/>
      <c r="K54" s="368">
        <v>88.4</v>
      </c>
      <c r="L54" s="368"/>
      <c r="M54" s="368"/>
      <c r="N54" s="629"/>
      <c r="O54" s="368"/>
      <c r="P54" s="368"/>
      <c r="Q54" s="627">
        <f t="shared" si="4"/>
        <v>88.4</v>
      </c>
      <c r="R54" s="315" t="str">
        <f t="shared" si="3"/>
        <v>NO</v>
      </c>
      <c r="S54" s="347" t="str">
        <f t="shared" si="2"/>
        <v>Inviable Sanitariamente</v>
      </c>
      <c r="T54" s="15"/>
    </row>
    <row r="55" spans="1:20" ht="32.1" customHeight="1">
      <c r="A55" s="597" t="s">
        <v>159</v>
      </c>
      <c r="B55" s="595" t="s">
        <v>1617</v>
      </c>
      <c r="C55" s="598" t="s">
        <v>1618</v>
      </c>
      <c r="D55" s="304">
        <v>99</v>
      </c>
      <c r="E55" s="368"/>
      <c r="F55" s="368"/>
      <c r="G55" s="368">
        <v>43.8</v>
      </c>
      <c r="H55" s="446"/>
      <c r="I55" s="445"/>
      <c r="J55" s="445"/>
      <c r="K55" s="445"/>
      <c r="L55" s="445"/>
      <c r="M55" s="445"/>
      <c r="N55" s="445"/>
      <c r="O55" s="628"/>
      <c r="P55" s="445"/>
      <c r="Q55" s="627">
        <f t="shared" si="4"/>
        <v>43.8</v>
      </c>
      <c r="R55" s="315" t="str">
        <f t="shared" si="3"/>
        <v>NO</v>
      </c>
      <c r="S55" s="347" t="str">
        <f t="shared" si="2"/>
        <v>Alto</v>
      </c>
      <c r="T55" s="47"/>
    </row>
    <row r="56" spans="1:20" ht="32.1" customHeight="1">
      <c r="A56" s="597" t="s">
        <v>159</v>
      </c>
      <c r="B56" s="595" t="s">
        <v>1620</v>
      </c>
      <c r="C56" s="598" t="s">
        <v>1621</v>
      </c>
      <c r="D56" s="304">
        <v>1350</v>
      </c>
      <c r="E56" s="368"/>
      <c r="F56" s="368"/>
      <c r="G56" s="368"/>
      <c r="H56" s="446"/>
      <c r="I56" s="445"/>
      <c r="J56" s="445"/>
      <c r="K56" s="445"/>
      <c r="L56" s="445"/>
      <c r="M56" s="445"/>
      <c r="N56" s="445"/>
      <c r="O56" s="445"/>
      <c r="P56" s="445"/>
      <c r="Q56" s="627"/>
      <c r="R56" s="315"/>
      <c r="S56" s="47"/>
      <c r="T56" s="47"/>
    </row>
    <row r="57" spans="1:20" ht="32.1" customHeight="1">
      <c r="A57" s="597" t="s">
        <v>159</v>
      </c>
      <c r="B57" s="595" t="s">
        <v>1622</v>
      </c>
      <c r="C57" s="598" t="s">
        <v>1623</v>
      </c>
      <c r="D57" s="304">
        <v>35</v>
      </c>
      <c r="E57" s="368"/>
      <c r="F57" s="368"/>
      <c r="G57" s="368">
        <v>88.7</v>
      </c>
      <c r="H57" s="446"/>
      <c r="I57" s="445"/>
      <c r="J57" s="445"/>
      <c r="K57" s="445"/>
      <c r="L57" s="445"/>
      <c r="M57" s="445">
        <v>97.35</v>
      </c>
      <c r="N57" s="445"/>
      <c r="O57" s="445"/>
      <c r="P57" s="445"/>
      <c r="Q57" s="627">
        <f t="shared" ref="Q57:Q58" si="5">AVERAGE(E57:P57)</f>
        <v>93.025000000000006</v>
      </c>
      <c r="R57" s="315" t="str">
        <f t="shared" si="3"/>
        <v>NO</v>
      </c>
      <c r="S57" s="47"/>
      <c r="T57" s="47"/>
    </row>
    <row r="58" spans="1:20" ht="32.1" customHeight="1">
      <c r="A58" s="597" t="s">
        <v>159</v>
      </c>
      <c r="B58" s="595" t="s">
        <v>1624</v>
      </c>
      <c r="C58" s="598" t="s">
        <v>1625</v>
      </c>
      <c r="D58" s="345">
        <v>230</v>
      </c>
      <c r="E58" s="368"/>
      <c r="F58" s="368"/>
      <c r="G58" s="368"/>
      <c r="H58" s="446"/>
      <c r="I58" s="445"/>
      <c r="J58" s="445"/>
      <c r="K58" s="445"/>
      <c r="L58" s="445"/>
      <c r="M58" s="445"/>
      <c r="N58" s="445"/>
      <c r="O58" s="445"/>
      <c r="P58" s="445">
        <v>97.9</v>
      </c>
      <c r="Q58" s="627">
        <f t="shared" si="5"/>
        <v>97.9</v>
      </c>
      <c r="R58" s="315" t="str">
        <f t="shared" si="3"/>
        <v>NO</v>
      </c>
      <c r="S58" s="47"/>
      <c r="T58" s="47"/>
    </row>
    <row r="59" spans="1:20" ht="32.1" customHeight="1">
      <c r="A59" s="595" t="s">
        <v>159</v>
      </c>
      <c r="B59" s="595" t="s">
        <v>1626</v>
      </c>
      <c r="C59" s="599" t="s">
        <v>1627</v>
      </c>
      <c r="D59" s="304">
        <v>72</v>
      </c>
      <c r="E59" s="368"/>
      <c r="F59" s="368"/>
      <c r="G59" s="368"/>
      <c r="H59" s="368"/>
      <c r="I59" s="368">
        <v>53.1</v>
      </c>
      <c r="J59" s="368">
        <v>53.1</v>
      </c>
      <c r="K59" s="629"/>
      <c r="L59" s="368"/>
      <c r="M59" s="368"/>
      <c r="N59" s="368"/>
      <c r="O59" s="368"/>
      <c r="P59" s="368"/>
      <c r="Q59" s="620">
        <f>AVERAGE(E59:P59)</f>
        <v>53.1</v>
      </c>
      <c r="R59" s="315" t="str">
        <f t="shared" si="3"/>
        <v>NO</v>
      </c>
      <c r="S59" s="347" t="str">
        <f t="shared" si="2"/>
        <v>Alto</v>
      </c>
      <c r="T59" s="15"/>
    </row>
    <row r="60" spans="1:20" ht="32.1" customHeight="1">
      <c r="A60" s="595" t="s">
        <v>159</v>
      </c>
      <c r="B60" s="595" t="s">
        <v>610</v>
      </c>
      <c r="C60" s="598" t="s">
        <v>1628</v>
      </c>
      <c r="D60" s="346">
        <v>1350</v>
      </c>
      <c r="E60" s="368"/>
      <c r="F60" s="368"/>
      <c r="G60" s="368"/>
      <c r="H60" s="368"/>
      <c r="I60" s="368"/>
      <c r="J60" s="368"/>
      <c r="K60" s="368"/>
      <c r="L60" s="630"/>
      <c r="M60" s="368"/>
      <c r="N60" s="368"/>
      <c r="O60" s="368"/>
      <c r="P60" s="368"/>
      <c r="Q60" s="620"/>
      <c r="R60" s="315"/>
      <c r="S60" s="347"/>
      <c r="T60" s="15"/>
    </row>
    <row r="61" spans="1:20" ht="32.1" customHeight="1">
      <c r="A61" s="595" t="s">
        <v>159</v>
      </c>
      <c r="B61" s="595" t="s">
        <v>56</v>
      </c>
      <c r="C61" s="598" t="s">
        <v>1629</v>
      </c>
      <c r="D61" s="304">
        <v>45</v>
      </c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620"/>
      <c r="R61" s="315"/>
      <c r="S61" s="347"/>
      <c r="T61" s="15"/>
    </row>
    <row r="62" spans="1:20" ht="32.1" customHeight="1">
      <c r="A62" s="452" t="s">
        <v>159</v>
      </c>
      <c r="B62" s="344" t="s">
        <v>1630</v>
      </c>
      <c r="C62" s="349" t="s">
        <v>1631</v>
      </c>
      <c r="D62" s="346">
        <v>1350</v>
      </c>
      <c r="E62" s="445"/>
      <c r="F62" s="445"/>
      <c r="G62" s="445"/>
      <c r="H62" s="445"/>
      <c r="I62" s="445"/>
      <c r="J62" s="445"/>
      <c r="K62" s="445"/>
      <c r="L62" s="445">
        <v>0</v>
      </c>
      <c r="M62" s="445"/>
      <c r="N62" s="628"/>
      <c r="O62" s="445"/>
      <c r="P62" s="445"/>
      <c r="Q62" s="620">
        <f>AVERAGE(E62:P62)</f>
        <v>0</v>
      </c>
      <c r="R62" s="315" t="str">
        <f t="shared" si="3"/>
        <v>SI</v>
      </c>
      <c r="S62" s="347" t="str">
        <f t="shared" si="2"/>
        <v>Sin Riesgo</v>
      </c>
      <c r="T62" s="15"/>
    </row>
    <row r="63" spans="1:20" ht="32.1" customHeight="1">
      <c r="A63" s="452" t="s">
        <v>159</v>
      </c>
      <c r="B63" s="344" t="s">
        <v>1615</v>
      </c>
      <c r="C63" s="349" t="s">
        <v>1632</v>
      </c>
      <c r="D63" s="346">
        <v>110</v>
      </c>
      <c r="E63" s="445"/>
      <c r="F63" s="445"/>
      <c r="G63" s="445"/>
      <c r="H63" s="445"/>
      <c r="I63" s="445"/>
      <c r="J63" s="445"/>
      <c r="K63" s="445"/>
      <c r="L63" s="445"/>
      <c r="M63" s="445"/>
      <c r="N63" s="445">
        <v>0</v>
      </c>
      <c r="O63" s="445"/>
      <c r="P63" s="445"/>
      <c r="Q63" s="620">
        <f t="shared" si="0"/>
        <v>0</v>
      </c>
      <c r="R63" s="315" t="str">
        <f t="shared" si="3"/>
        <v>SI</v>
      </c>
      <c r="S63" s="347" t="str">
        <f t="shared" si="2"/>
        <v>Sin Riesgo</v>
      </c>
      <c r="T63" s="15"/>
    </row>
    <row r="64" spans="1:20" ht="32.1" customHeight="1">
      <c r="A64" s="595" t="s">
        <v>159</v>
      </c>
      <c r="B64" s="595" t="s">
        <v>1633</v>
      </c>
      <c r="C64" s="598" t="s">
        <v>1634</v>
      </c>
      <c r="D64" s="346">
        <v>1350</v>
      </c>
      <c r="E64" s="368"/>
      <c r="F64" s="368"/>
      <c r="G64" s="368"/>
      <c r="H64" s="368"/>
      <c r="I64" s="368"/>
      <c r="J64" s="368"/>
      <c r="K64" s="368"/>
      <c r="L64" s="368"/>
      <c r="M64" s="368"/>
      <c r="N64" s="631"/>
      <c r="O64" s="368"/>
      <c r="P64" s="368"/>
      <c r="Q64" s="620"/>
      <c r="R64" s="315"/>
      <c r="S64" s="347"/>
      <c r="T64" s="15"/>
    </row>
    <row r="65" spans="1:20" ht="32.1" customHeight="1">
      <c r="A65" s="595" t="s">
        <v>159</v>
      </c>
      <c r="B65" s="595" t="s">
        <v>1635</v>
      </c>
      <c r="C65" s="598" t="s">
        <v>1897</v>
      </c>
      <c r="D65" s="346">
        <v>60</v>
      </c>
      <c r="E65" s="368"/>
      <c r="F65" s="368"/>
      <c r="G65" s="368"/>
      <c r="H65" s="368"/>
      <c r="I65" s="368"/>
      <c r="J65" s="368"/>
      <c r="K65" s="368">
        <v>90.19</v>
      </c>
      <c r="L65" s="368"/>
      <c r="M65" s="368"/>
      <c r="N65" s="629"/>
      <c r="O65" s="368"/>
      <c r="P65" s="368"/>
      <c r="Q65" s="620">
        <f>AVERAGE(E65:P65)</f>
        <v>90.19</v>
      </c>
      <c r="R65" s="315" t="str">
        <f t="shared" si="3"/>
        <v>NO</v>
      </c>
      <c r="S65" s="347" t="str">
        <f t="shared" si="2"/>
        <v>Inviable Sanitariamente</v>
      </c>
      <c r="T65" s="15"/>
    </row>
    <row r="66" spans="1:20" ht="32.1" customHeight="1">
      <c r="A66" s="597" t="s">
        <v>159</v>
      </c>
      <c r="B66" s="595" t="s">
        <v>1637</v>
      </c>
      <c r="C66" s="598" t="s">
        <v>1638</v>
      </c>
      <c r="D66" s="346">
        <v>320</v>
      </c>
      <c r="E66" s="445"/>
      <c r="F66" s="445"/>
      <c r="G66" s="445"/>
      <c r="H66" s="445">
        <v>97.35</v>
      </c>
      <c r="I66" s="445"/>
      <c r="J66" s="445"/>
      <c r="K66" s="445"/>
      <c r="L66" s="445"/>
      <c r="M66" s="445"/>
      <c r="N66" s="445"/>
      <c r="O66" s="445"/>
      <c r="P66" s="445"/>
      <c r="Q66" s="620">
        <f t="shared" si="0"/>
        <v>97.35</v>
      </c>
      <c r="R66" s="315" t="str">
        <f t="shared" si="3"/>
        <v>NO</v>
      </c>
      <c r="S66" s="347" t="str">
        <f t="shared" si="2"/>
        <v>Inviable Sanitariamente</v>
      </c>
      <c r="T66" s="15"/>
    </row>
    <row r="67" spans="1:20" ht="32.1" customHeight="1">
      <c r="A67" s="595" t="s">
        <v>159</v>
      </c>
      <c r="B67" s="595" t="s">
        <v>1639</v>
      </c>
      <c r="C67" s="598" t="s">
        <v>1640</v>
      </c>
      <c r="D67" s="346">
        <v>960</v>
      </c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620"/>
      <c r="R67" s="315"/>
      <c r="S67" s="347"/>
      <c r="T67" s="15"/>
    </row>
    <row r="68" spans="1:20" ht="32.1" customHeight="1">
      <c r="A68" s="597" t="s">
        <v>159</v>
      </c>
      <c r="B68" s="595" t="s">
        <v>1641</v>
      </c>
      <c r="C68" s="598" t="s">
        <v>1898</v>
      </c>
      <c r="D68" s="346">
        <v>24</v>
      </c>
      <c r="E68" s="445"/>
      <c r="F68" s="445"/>
      <c r="G68" s="445"/>
      <c r="H68" s="445">
        <v>53.1</v>
      </c>
      <c r="I68" s="445"/>
      <c r="J68" s="445"/>
      <c r="K68" s="628"/>
      <c r="L68" s="445"/>
      <c r="M68" s="445"/>
      <c r="N68" s="445"/>
      <c r="O68" s="445"/>
      <c r="P68" s="445"/>
      <c r="Q68" s="627">
        <f>AVERAGE(E68:P68)</f>
        <v>53.1</v>
      </c>
      <c r="R68" s="315" t="str">
        <f t="shared" si="3"/>
        <v>NO</v>
      </c>
      <c r="S68" s="347" t="str">
        <f t="shared" si="2"/>
        <v>Alto</v>
      </c>
      <c r="T68" s="15"/>
    </row>
    <row r="69" spans="1:20" ht="32.1" customHeight="1">
      <c r="A69" s="595" t="s">
        <v>159</v>
      </c>
      <c r="B69" s="595" t="s">
        <v>1028</v>
      </c>
      <c r="C69" s="598" t="s">
        <v>1642</v>
      </c>
      <c r="D69" s="304">
        <v>28</v>
      </c>
      <c r="E69" s="368"/>
      <c r="F69" s="368"/>
      <c r="G69" s="368"/>
      <c r="H69" s="368"/>
      <c r="I69" s="368"/>
      <c r="J69" s="368"/>
      <c r="K69" s="368">
        <v>85.37</v>
      </c>
      <c r="L69" s="368"/>
      <c r="M69" s="368"/>
      <c r="N69" s="629"/>
      <c r="O69" s="368"/>
      <c r="P69" s="368"/>
      <c r="Q69" s="627">
        <f>AVERAGE(E69:P69)</f>
        <v>85.37</v>
      </c>
      <c r="R69" s="315" t="str">
        <f t="shared" si="3"/>
        <v>NO</v>
      </c>
      <c r="S69" s="347" t="str">
        <f t="shared" si="2"/>
        <v>Inviable Sanitariamente</v>
      </c>
      <c r="T69" s="15"/>
    </row>
    <row r="70" spans="1:20" ht="32.1" customHeight="1">
      <c r="A70" s="597" t="s">
        <v>159</v>
      </c>
      <c r="B70" s="595" t="s">
        <v>1643</v>
      </c>
      <c r="C70" s="598" t="s">
        <v>1644</v>
      </c>
      <c r="D70" s="346">
        <v>1350</v>
      </c>
      <c r="E70" s="445"/>
      <c r="F70" s="445"/>
      <c r="G70" s="445"/>
      <c r="H70" s="445"/>
      <c r="I70" s="445"/>
      <c r="J70" s="445"/>
      <c r="K70" s="445"/>
      <c r="L70" s="628"/>
      <c r="M70" s="445"/>
      <c r="N70" s="445"/>
      <c r="O70" s="445">
        <v>0</v>
      </c>
      <c r="P70" s="445"/>
      <c r="Q70" s="627">
        <f>AVERAGE(E70:P70)</f>
        <v>0</v>
      </c>
      <c r="R70" s="315" t="str">
        <f t="shared" si="3"/>
        <v>SI</v>
      </c>
      <c r="S70" s="347" t="str">
        <f t="shared" si="2"/>
        <v>Sin Riesgo</v>
      </c>
      <c r="T70" s="15"/>
    </row>
    <row r="71" spans="1:20" ht="32.1" customHeight="1">
      <c r="A71" s="597" t="s">
        <v>159</v>
      </c>
      <c r="B71" s="595" t="s">
        <v>1645</v>
      </c>
      <c r="C71" s="598" t="s">
        <v>1646</v>
      </c>
      <c r="D71" s="304">
        <v>7</v>
      </c>
      <c r="E71" s="445"/>
      <c r="F71" s="445"/>
      <c r="G71" s="445"/>
      <c r="H71" s="445"/>
      <c r="I71" s="445"/>
      <c r="J71" s="445"/>
      <c r="K71" s="445"/>
      <c r="L71" s="445"/>
      <c r="M71" s="445"/>
      <c r="N71" s="445">
        <v>0</v>
      </c>
      <c r="O71" s="445"/>
      <c r="P71" s="445"/>
      <c r="Q71" s="627">
        <f t="shared" si="0"/>
        <v>0</v>
      </c>
      <c r="R71" s="315" t="str">
        <f t="shared" si="3"/>
        <v>SI</v>
      </c>
      <c r="S71" s="347" t="str">
        <f t="shared" si="2"/>
        <v>Sin Riesgo</v>
      </c>
      <c r="T71" s="15"/>
    </row>
    <row r="72" spans="1:20" ht="32.1" customHeight="1">
      <c r="A72" s="597" t="s">
        <v>159</v>
      </c>
      <c r="B72" s="586" t="s">
        <v>1647</v>
      </c>
      <c r="C72" s="596" t="s">
        <v>1648</v>
      </c>
      <c r="D72" s="346">
        <v>49</v>
      </c>
      <c r="E72" s="445"/>
      <c r="F72" s="445"/>
      <c r="G72" s="445"/>
      <c r="H72" s="632"/>
      <c r="I72" s="445">
        <v>97.35</v>
      </c>
      <c r="J72" s="445"/>
      <c r="K72" s="445"/>
      <c r="L72" s="445"/>
      <c r="M72" s="445"/>
      <c r="N72" s="445"/>
      <c r="O72" s="445"/>
      <c r="P72" s="445"/>
      <c r="Q72" s="627">
        <f t="shared" si="0"/>
        <v>97.35</v>
      </c>
      <c r="R72" s="315" t="str">
        <f t="shared" si="3"/>
        <v>NO</v>
      </c>
      <c r="S72" s="347" t="str">
        <f t="shared" si="2"/>
        <v>Inviable Sanitariamente</v>
      </c>
      <c r="T72" s="15"/>
    </row>
    <row r="73" spans="1:20" ht="42.75" customHeight="1">
      <c r="A73" s="595" t="s">
        <v>159</v>
      </c>
      <c r="B73" s="595" t="s">
        <v>1649</v>
      </c>
      <c r="C73" s="598" t="s">
        <v>1650</v>
      </c>
      <c r="D73" s="304">
        <v>1350</v>
      </c>
      <c r="E73" s="368"/>
      <c r="F73" s="368"/>
      <c r="G73" s="368"/>
      <c r="H73" s="368"/>
      <c r="I73" s="368">
        <v>20.6</v>
      </c>
      <c r="J73" s="368">
        <v>26.6</v>
      </c>
      <c r="K73" s="368"/>
      <c r="L73" s="631"/>
      <c r="M73" s="368"/>
      <c r="N73" s="368"/>
      <c r="O73" s="368"/>
      <c r="P73" s="368"/>
      <c r="Q73" s="627">
        <f>AVERAGE(E73:P73)</f>
        <v>23.6</v>
      </c>
      <c r="R73" s="315" t="str">
        <f t="shared" ref="R73:R107" si="6">IF(Q73&lt;5,"SI","NO")</f>
        <v>NO</v>
      </c>
      <c r="S73" s="347" t="str">
        <f t="shared" ref="S73:S143" si="7">IF(Q73&lt;5,"Sin Riesgo",IF(Q73 &lt;=14,"Bajo",IF(Q73&lt;=35,"Medio",IF(Q73&lt;=80,"Alto","Inviable Sanitariamente"))))</f>
        <v>Medio</v>
      </c>
      <c r="T73" s="15"/>
    </row>
    <row r="74" spans="1:20" ht="32.1" customHeight="1">
      <c r="A74" s="452" t="s">
        <v>159</v>
      </c>
      <c r="B74" s="344" t="s">
        <v>610</v>
      </c>
      <c r="C74" s="349" t="s">
        <v>1651</v>
      </c>
      <c r="D74" s="304">
        <v>142</v>
      </c>
      <c r="E74" s="445"/>
      <c r="F74" s="445"/>
      <c r="G74" s="445"/>
      <c r="H74" s="445"/>
      <c r="I74" s="445"/>
      <c r="J74" s="445"/>
      <c r="K74" s="626"/>
      <c r="L74" s="445"/>
      <c r="M74" s="445"/>
      <c r="N74" s="445"/>
      <c r="O74" s="445">
        <v>0</v>
      </c>
      <c r="P74" s="445"/>
      <c r="Q74" s="627">
        <f t="shared" ref="Q74:Q143" si="8">AVERAGE(E74:P74)</f>
        <v>0</v>
      </c>
      <c r="R74" s="315" t="str">
        <f t="shared" si="6"/>
        <v>SI</v>
      </c>
      <c r="S74" s="347" t="str">
        <f t="shared" si="7"/>
        <v>Sin Riesgo</v>
      </c>
      <c r="T74" s="15"/>
    </row>
    <row r="75" spans="1:20" ht="32.1" customHeight="1">
      <c r="A75" s="597" t="s">
        <v>159</v>
      </c>
      <c r="B75" s="597" t="s">
        <v>1652</v>
      </c>
      <c r="C75" s="600" t="s">
        <v>1653</v>
      </c>
      <c r="D75" s="304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627"/>
      <c r="R75" s="315"/>
      <c r="S75" s="347"/>
      <c r="T75" s="15"/>
    </row>
    <row r="76" spans="1:20" ht="32.1" customHeight="1">
      <c r="A76" s="452" t="s">
        <v>159</v>
      </c>
      <c r="B76" s="344" t="s">
        <v>1654</v>
      </c>
      <c r="C76" s="349" t="s">
        <v>1655</v>
      </c>
      <c r="D76" s="455">
        <v>1350</v>
      </c>
      <c r="E76" s="445"/>
      <c r="F76" s="445"/>
      <c r="G76" s="445"/>
      <c r="H76" s="445"/>
      <c r="I76" s="445"/>
      <c r="J76" s="445"/>
      <c r="K76" s="445"/>
      <c r="L76" s="445"/>
      <c r="M76" s="445"/>
      <c r="N76" s="445">
        <v>0</v>
      </c>
      <c r="O76" s="445"/>
      <c r="P76" s="445"/>
      <c r="Q76" s="620">
        <f t="shared" si="8"/>
        <v>0</v>
      </c>
      <c r="R76" s="315" t="str">
        <f t="shared" si="6"/>
        <v>SI</v>
      </c>
      <c r="S76" s="347" t="str">
        <f t="shared" si="7"/>
        <v>Sin Riesgo</v>
      </c>
      <c r="T76" s="36"/>
    </row>
    <row r="77" spans="1:20" ht="32.1" customHeight="1">
      <c r="A77" s="452" t="s">
        <v>159</v>
      </c>
      <c r="B77" s="344" t="s">
        <v>1656</v>
      </c>
      <c r="C77" s="349" t="s">
        <v>1657</v>
      </c>
      <c r="D77" s="346">
        <v>540</v>
      </c>
      <c r="E77" s="445"/>
      <c r="F77" s="445"/>
      <c r="G77" s="445"/>
      <c r="H77" s="445"/>
      <c r="I77" s="445">
        <v>0</v>
      </c>
      <c r="J77" s="445"/>
      <c r="K77" s="445"/>
      <c r="L77" s="445"/>
      <c r="M77" s="445"/>
      <c r="N77" s="628"/>
      <c r="O77" s="445"/>
      <c r="P77" s="445"/>
      <c r="Q77" s="627">
        <f>AVERAGE(E77:P77)</f>
        <v>0</v>
      </c>
      <c r="R77" s="315" t="str">
        <f t="shared" si="6"/>
        <v>SI</v>
      </c>
      <c r="S77" s="347" t="str">
        <f>IF(Q77&lt;5,"Sin Riesgo",IF(Q77 &lt;=14,"Bajo",IF(Q77&lt;=35,"Medio",IF(Q77&lt;=80,"Alto","Inviable Sanitariamente"))))</f>
        <v>Sin Riesgo</v>
      </c>
      <c r="T77" s="36"/>
    </row>
    <row r="78" spans="1:20" ht="32.1" customHeight="1">
      <c r="A78" s="452" t="s">
        <v>159</v>
      </c>
      <c r="B78" s="344" t="s">
        <v>1658</v>
      </c>
      <c r="C78" s="349" t="s">
        <v>1659</v>
      </c>
      <c r="D78" s="346">
        <v>50</v>
      </c>
      <c r="E78" s="445"/>
      <c r="F78" s="445"/>
      <c r="G78" s="445"/>
      <c r="H78" s="445"/>
      <c r="I78" s="445"/>
      <c r="J78" s="445"/>
      <c r="K78" s="445"/>
      <c r="L78" s="445">
        <v>76.92</v>
      </c>
      <c r="M78" s="445"/>
      <c r="N78" s="626"/>
      <c r="O78" s="445"/>
      <c r="P78" s="445"/>
      <c r="Q78" s="627">
        <f>AVERAGE(E78:P78)</f>
        <v>76.92</v>
      </c>
      <c r="R78" s="315" t="str">
        <f t="shared" si="6"/>
        <v>NO</v>
      </c>
      <c r="S78" s="347" t="str">
        <f t="shared" si="7"/>
        <v>Alto</v>
      </c>
      <c r="T78" s="36"/>
    </row>
    <row r="79" spans="1:20" ht="32.1" customHeight="1">
      <c r="A79" s="452" t="s">
        <v>159</v>
      </c>
      <c r="B79" s="344" t="s">
        <v>693</v>
      </c>
      <c r="C79" s="349" t="s">
        <v>1660</v>
      </c>
      <c r="D79" s="346">
        <v>1350</v>
      </c>
      <c r="E79" s="445"/>
      <c r="F79" s="445"/>
      <c r="G79" s="445"/>
      <c r="H79" s="445"/>
      <c r="I79" s="445"/>
      <c r="J79" s="445"/>
      <c r="K79" s="445"/>
      <c r="L79" s="628"/>
      <c r="M79" s="445"/>
      <c r="N79" s="445"/>
      <c r="O79" s="445">
        <v>26.55</v>
      </c>
      <c r="P79" s="445"/>
      <c r="Q79" s="627">
        <f>AVERAGE(E79:P79)</f>
        <v>26.55</v>
      </c>
      <c r="R79" s="315" t="str">
        <f t="shared" si="6"/>
        <v>NO</v>
      </c>
      <c r="S79" s="347" t="str">
        <f t="shared" si="7"/>
        <v>Medio</v>
      </c>
      <c r="T79" s="36"/>
    </row>
    <row r="80" spans="1:20" ht="44.25" customHeight="1">
      <c r="A80" s="452" t="s">
        <v>159</v>
      </c>
      <c r="B80" s="344" t="s">
        <v>1661</v>
      </c>
      <c r="C80" s="349" t="s">
        <v>1662</v>
      </c>
      <c r="D80" s="455">
        <v>480</v>
      </c>
      <c r="E80" s="445"/>
      <c r="F80" s="445"/>
      <c r="G80" s="445"/>
      <c r="H80" s="445"/>
      <c r="I80" s="445">
        <v>0</v>
      </c>
      <c r="J80" s="445"/>
      <c r="K80" s="445"/>
      <c r="L80" s="633"/>
      <c r="M80" s="445"/>
      <c r="N80" s="445"/>
      <c r="O80" s="633"/>
      <c r="P80" s="445"/>
      <c r="Q80" s="627">
        <v>45.65</v>
      </c>
      <c r="R80" s="315" t="str">
        <f t="shared" si="6"/>
        <v>NO</v>
      </c>
      <c r="S80" s="347" t="str">
        <f t="shared" si="7"/>
        <v>Alto</v>
      </c>
      <c r="T80" s="15"/>
    </row>
    <row r="81" spans="1:20" ht="32.1" customHeight="1">
      <c r="A81" s="452" t="s">
        <v>159</v>
      </c>
      <c r="B81" s="344" t="s">
        <v>1663</v>
      </c>
      <c r="C81" s="349" t="s">
        <v>1664</v>
      </c>
      <c r="D81" s="455">
        <v>405</v>
      </c>
      <c r="E81" s="445"/>
      <c r="F81" s="445"/>
      <c r="G81" s="445"/>
      <c r="H81" s="445"/>
      <c r="I81" s="445">
        <v>0</v>
      </c>
      <c r="J81" s="445"/>
      <c r="K81" s="445"/>
      <c r="L81" s="445"/>
      <c r="M81" s="445"/>
      <c r="N81" s="633"/>
      <c r="O81" s="633"/>
      <c r="P81" s="445"/>
      <c r="Q81" s="627">
        <v>46.8</v>
      </c>
      <c r="R81" s="315" t="str">
        <f t="shared" si="6"/>
        <v>NO</v>
      </c>
      <c r="S81" s="347" t="str">
        <f t="shared" si="7"/>
        <v>Alto</v>
      </c>
      <c r="T81" s="15"/>
    </row>
    <row r="82" spans="1:20" ht="32.1" customHeight="1">
      <c r="A82" s="452" t="s">
        <v>159</v>
      </c>
      <c r="B82" s="344" t="s">
        <v>1899</v>
      </c>
      <c r="C82" s="349" t="s">
        <v>1665</v>
      </c>
      <c r="D82" s="346">
        <v>540</v>
      </c>
      <c r="E82" s="445"/>
      <c r="F82" s="445"/>
      <c r="G82" s="445"/>
      <c r="H82" s="445">
        <v>0</v>
      </c>
      <c r="I82" s="445"/>
      <c r="J82" s="445"/>
      <c r="K82" s="445"/>
      <c r="L82" s="445"/>
      <c r="M82" s="445"/>
      <c r="N82" s="445"/>
      <c r="O82" s="445"/>
      <c r="P82" s="445"/>
      <c r="Q82" s="627">
        <f t="shared" si="8"/>
        <v>0</v>
      </c>
      <c r="R82" s="315" t="str">
        <f t="shared" si="6"/>
        <v>SI</v>
      </c>
      <c r="S82" s="347" t="str">
        <f t="shared" si="7"/>
        <v>Sin Riesgo</v>
      </c>
      <c r="T82" s="15"/>
    </row>
    <row r="83" spans="1:20" ht="32.1" customHeight="1">
      <c r="A83" s="452" t="s">
        <v>159</v>
      </c>
      <c r="B83" s="340" t="s">
        <v>1666</v>
      </c>
      <c r="C83" s="350" t="s">
        <v>1667</v>
      </c>
      <c r="D83" s="346">
        <v>1350</v>
      </c>
      <c r="E83" s="445"/>
      <c r="F83" s="445"/>
      <c r="G83" s="445"/>
      <c r="H83" s="445">
        <v>0</v>
      </c>
      <c r="I83" s="445"/>
      <c r="J83" s="445"/>
      <c r="K83" s="445"/>
      <c r="L83" s="633"/>
      <c r="M83" s="445"/>
      <c r="N83" s="445"/>
      <c r="O83" s="445"/>
      <c r="P83" s="445"/>
      <c r="Q83" s="627">
        <f>AVERAGE(E83:P83)</f>
        <v>0</v>
      </c>
      <c r="R83" s="315" t="str">
        <f t="shared" si="6"/>
        <v>SI</v>
      </c>
      <c r="S83" s="347" t="str">
        <f t="shared" si="7"/>
        <v>Sin Riesgo</v>
      </c>
      <c r="T83" s="15"/>
    </row>
    <row r="84" spans="1:20" ht="32.1" customHeight="1">
      <c r="A84" s="452" t="s">
        <v>159</v>
      </c>
      <c r="B84" s="340" t="s">
        <v>1668</v>
      </c>
      <c r="C84" s="350" t="s">
        <v>1669</v>
      </c>
      <c r="D84" s="346">
        <v>1350</v>
      </c>
      <c r="E84" s="445"/>
      <c r="F84" s="445"/>
      <c r="G84" s="445"/>
      <c r="H84" s="445">
        <v>0</v>
      </c>
      <c r="I84" s="445"/>
      <c r="J84" s="445"/>
      <c r="K84" s="445"/>
      <c r="L84" s="628"/>
      <c r="M84" s="445"/>
      <c r="N84" s="445"/>
      <c r="O84" s="445"/>
      <c r="P84" s="445"/>
      <c r="Q84" s="627">
        <f>AVERAGE(E84:P84)</f>
        <v>0</v>
      </c>
      <c r="R84" s="315" t="str">
        <f t="shared" si="6"/>
        <v>SI</v>
      </c>
      <c r="S84" s="347" t="str">
        <f t="shared" si="7"/>
        <v>Sin Riesgo</v>
      </c>
      <c r="T84" s="15"/>
    </row>
    <row r="85" spans="1:20" ht="32.1" customHeight="1">
      <c r="A85" s="597" t="s">
        <v>159</v>
      </c>
      <c r="B85" s="601" t="s">
        <v>1670</v>
      </c>
      <c r="C85" s="602" t="s">
        <v>1671</v>
      </c>
      <c r="D85" s="304">
        <v>1350</v>
      </c>
      <c r="E85" s="368"/>
      <c r="F85" s="368"/>
      <c r="G85" s="368"/>
      <c r="H85" s="368"/>
      <c r="I85" s="368"/>
      <c r="J85" s="368">
        <v>26.6</v>
      </c>
      <c r="K85" s="368"/>
      <c r="L85" s="631"/>
      <c r="M85" s="368"/>
      <c r="N85" s="368"/>
      <c r="O85" s="368"/>
      <c r="P85" s="368"/>
      <c r="Q85" s="627">
        <f t="shared" si="8"/>
        <v>26.6</v>
      </c>
      <c r="R85" s="315" t="str">
        <f t="shared" si="6"/>
        <v>NO</v>
      </c>
      <c r="S85" s="347" t="str">
        <f t="shared" si="7"/>
        <v>Medio</v>
      </c>
      <c r="T85" s="15"/>
    </row>
    <row r="86" spans="1:20" ht="32.1" customHeight="1">
      <c r="A86" s="452" t="s">
        <v>159</v>
      </c>
      <c r="B86" s="340" t="s">
        <v>1672</v>
      </c>
      <c r="C86" s="350" t="s">
        <v>1673</v>
      </c>
      <c r="D86" s="346">
        <v>1350</v>
      </c>
      <c r="E86" s="445"/>
      <c r="F86" s="445"/>
      <c r="G86" s="445"/>
      <c r="H86" s="445"/>
      <c r="I86" s="445"/>
      <c r="J86" s="445"/>
      <c r="K86" s="445"/>
      <c r="L86" s="445">
        <v>41.96</v>
      </c>
      <c r="M86" s="445"/>
      <c r="N86" s="445"/>
      <c r="O86" s="445"/>
      <c r="P86" s="445"/>
      <c r="Q86" s="627">
        <f t="shared" si="8"/>
        <v>41.96</v>
      </c>
      <c r="R86" s="315" t="str">
        <f t="shared" si="6"/>
        <v>NO</v>
      </c>
      <c r="S86" s="347" t="str">
        <f t="shared" si="7"/>
        <v>Alto</v>
      </c>
      <c r="T86" s="15"/>
    </row>
    <row r="87" spans="1:20" ht="32.1" customHeight="1">
      <c r="A87" s="452" t="s">
        <v>159</v>
      </c>
      <c r="B87" s="340" t="s">
        <v>1674</v>
      </c>
      <c r="C87" s="350" t="s">
        <v>1675</v>
      </c>
      <c r="D87" s="456">
        <v>8100</v>
      </c>
      <c r="E87" s="634"/>
      <c r="F87" s="634"/>
      <c r="G87" s="634"/>
      <c r="H87" s="634"/>
      <c r="I87" s="634"/>
      <c r="J87" s="634"/>
      <c r="K87" s="634"/>
      <c r="L87" s="634"/>
      <c r="M87" s="634"/>
      <c r="N87" s="634"/>
      <c r="O87" s="634">
        <v>0</v>
      </c>
      <c r="P87" s="634"/>
      <c r="Q87" s="627">
        <f t="shared" si="8"/>
        <v>0</v>
      </c>
      <c r="R87" s="315" t="str">
        <f t="shared" si="6"/>
        <v>SI</v>
      </c>
      <c r="S87" s="347" t="str">
        <f t="shared" si="7"/>
        <v>Sin Riesgo</v>
      </c>
      <c r="T87" s="15"/>
    </row>
    <row r="88" spans="1:20" ht="32.1" customHeight="1">
      <c r="A88" s="452" t="s">
        <v>159</v>
      </c>
      <c r="B88" s="340" t="s">
        <v>1900</v>
      </c>
      <c r="C88" s="350" t="s">
        <v>1901</v>
      </c>
      <c r="D88" s="399">
        <v>50</v>
      </c>
      <c r="E88" s="634"/>
      <c r="F88" s="634"/>
      <c r="G88" s="634"/>
      <c r="H88" s="634"/>
      <c r="I88" s="634"/>
      <c r="J88" s="634"/>
      <c r="K88" s="634"/>
      <c r="L88" s="634"/>
      <c r="M88" s="634">
        <v>97.35</v>
      </c>
      <c r="N88" s="635"/>
      <c r="O88" s="626"/>
      <c r="P88" s="634"/>
      <c r="Q88" s="627">
        <f>AVERAGE(E88:P88)</f>
        <v>97.35</v>
      </c>
      <c r="R88" s="315" t="str">
        <f t="shared" si="6"/>
        <v>NO</v>
      </c>
      <c r="S88" s="347" t="str">
        <f t="shared" si="7"/>
        <v>Inviable Sanitariamente</v>
      </c>
      <c r="T88" s="15"/>
    </row>
    <row r="89" spans="1:20" ht="32.1" customHeight="1">
      <c r="A89" s="452" t="s">
        <v>159</v>
      </c>
      <c r="B89" s="340" t="s">
        <v>1902</v>
      </c>
      <c r="C89" s="350" t="s">
        <v>1903</v>
      </c>
      <c r="D89" s="353">
        <v>68</v>
      </c>
      <c r="E89" s="368"/>
      <c r="F89" s="368"/>
      <c r="G89" s="368"/>
      <c r="H89" s="368"/>
      <c r="I89" s="368"/>
      <c r="J89" s="368"/>
      <c r="K89" s="368">
        <v>75.099999999999994</v>
      </c>
      <c r="L89" s="368"/>
      <c r="M89" s="368"/>
      <c r="N89" s="368"/>
      <c r="O89" s="629"/>
      <c r="P89" s="368"/>
      <c r="Q89" s="627">
        <f>AVERAGE(E88:P88)</f>
        <v>97.35</v>
      </c>
      <c r="R89" s="315" t="str">
        <f t="shared" si="6"/>
        <v>NO</v>
      </c>
      <c r="S89" s="347" t="str">
        <f t="shared" si="7"/>
        <v>Inviable Sanitariamente</v>
      </c>
      <c r="T89" s="15"/>
    </row>
    <row r="90" spans="1:20" ht="32.1" customHeight="1">
      <c r="A90" s="452" t="s">
        <v>159</v>
      </c>
      <c r="B90" s="340" t="s">
        <v>1904</v>
      </c>
      <c r="C90" s="350" t="s">
        <v>1905</v>
      </c>
      <c r="D90" s="346">
        <v>72</v>
      </c>
      <c r="E90" s="445"/>
      <c r="F90" s="445"/>
      <c r="G90" s="445"/>
      <c r="H90" s="445"/>
      <c r="I90" s="445"/>
      <c r="J90" s="445"/>
      <c r="K90" s="445"/>
      <c r="L90" s="445"/>
      <c r="M90" s="445">
        <v>97.35</v>
      </c>
      <c r="N90" s="632"/>
      <c r="O90" s="636"/>
      <c r="P90" s="445"/>
      <c r="Q90" s="627">
        <f>AVERAGE(E90:P90)</f>
        <v>97.35</v>
      </c>
      <c r="R90" s="315" t="str">
        <f t="shared" si="6"/>
        <v>NO</v>
      </c>
      <c r="S90" s="347" t="str">
        <f t="shared" si="7"/>
        <v>Inviable Sanitariamente</v>
      </c>
      <c r="T90" s="15"/>
    </row>
    <row r="91" spans="1:20" ht="32.1" customHeight="1">
      <c r="A91" s="452" t="s">
        <v>159</v>
      </c>
      <c r="B91" s="340" t="s">
        <v>1906</v>
      </c>
      <c r="C91" s="350" t="s">
        <v>1907</v>
      </c>
      <c r="D91" s="346">
        <v>46</v>
      </c>
      <c r="E91" s="445"/>
      <c r="F91" s="445"/>
      <c r="G91" s="445"/>
      <c r="H91" s="445"/>
      <c r="I91" s="445"/>
      <c r="J91" s="445"/>
      <c r="K91" s="445"/>
      <c r="L91" s="445">
        <v>26.55</v>
      </c>
      <c r="M91" s="445"/>
      <c r="N91" s="632"/>
      <c r="O91" s="636"/>
      <c r="P91" s="445"/>
      <c r="Q91" s="627">
        <f>AVERAGE(E91:P91)</f>
        <v>26.55</v>
      </c>
      <c r="R91" s="315" t="str">
        <f>IF(Q91&lt;5,"SI","NO")</f>
        <v>NO</v>
      </c>
      <c r="S91" s="347" t="str">
        <f>IF(Q91&lt;5,"Sin Riesgo",IF(Q91 &lt;=14,"Bajo",IF(Q91&lt;=35,"Medio",IF(Q91&lt;=80,"Alto","Inviable Sanitariamente"))))</f>
        <v>Medio</v>
      </c>
      <c r="T91" s="15"/>
    </row>
    <row r="92" spans="1:20" ht="32.1" customHeight="1">
      <c r="A92" s="452" t="s">
        <v>159</v>
      </c>
      <c r="B92" s="340" t="s">
        <v>4023</v>
      </c>
      <c r="C92" s="350" t="s">
        <v>4024</v>
      </c>
      <c r="D92" s="304">
        <v>450</v>
      </c>
      <c r="E92" s="368"/>
      <c r="F92" s="368"/>
      <c r="G92" s="368"/>
      <c r="H92" s="368"/>
      <c r="I92" s="368">
        <v>0</v>
      </c>
      <c r="J92" s="368"/>
      <c r="K92" s="368"/>
      <c r="L92" s="368"/>
      <c r="M92" s="368"/>
      <c r="N92" s="368"/>
      <c r="O92" s="629"/>
      <c r="P92" s="368"/>
      <c r="Q92" s="627">
        <f>AVERAGE(E92:P92)</f>
        <v>0</v>
      </c>
      <c r="R92" s="315" t="str">
        <f t="shared" si="6"/>
        <v>SI</v>
      </c>
      <c r="S92" s="347" t="str">
        <f t="shared" si="7"/>
        <v>Sin Riesgo</v>
      </c>
      <c r="T92" s="15"/>
    </row>
    <row r="93" spans="1:20" ht="32.1" customHeight="1">
      <c r="A93" s="452" t="s">
        <v>159</v>
      </c>
      <c r="B93" s="340" t="s">
        <v>2128</v>
      </c>
      <c r="C93" s="350" t="s">
        <v>4024</v>
      </c>
      <c r="D93" s="304">
        <v>405</v>
      </c>
      <c r="E93" s="368"/>
      <c r="F93" s="368"/>
      <c r="G93" s="368"/>
      <c r="H93" s="368"/>
      <c r="I93" s="368">
        <v>0</v>
      </c>
      <c r="J93" s="368"/>
      <c r="K93" s="368"/>
      <c r="L93" s="368"/>
      <c r="M93" s="368"/>
      <c r="N93" s="368"/>
      <c r="O93" s="368"/>
      <c r="P93" s="368"/>
      <c r="Q93" s="627">
        <f>AVERAGE(E93:P93)</f>
        <v>0</v>
      </c>
      <c r="R93" s="315" t="str">
        <f>IF(Q93&lt;5,"SI","NO")</f>
        <v>SI</v>
      </c>
      <c r="S93" s="347" t="str">
        <f>IF(Q93&lt;5,"Sin Riesgo",IF(Q93 &lt;=14,"Bajo",IF(Q93&lt;=35,"Medio",IF(Q93&lt;=80,"Alto","Inviable Sanitariamente"))))</f>
        <v>Sin Riesgo</v>
      </c>
      <c r="T93" s="15"/>
    </row>
    <row r="94" spans="1:20" ht="32.1" customHeight="1">
      <c r="A94" s="452" t="s">
        <v>159</v>
      </c>
      <c r="B94" s="340" t="s">
        <v>4025</v>
      </c>
      <c r="C94" s="350" t="s">
        <v>4026</v>
      </c>
      <c r="D94" s="346">
        <v>25</v>
      </c>
      <c r="E94" s="445"/>
      <c r="F94" s="445"/>
      <c r="G94" s="445"/>
      <c r="H94" s="445"/>
      <c r="I94" s="445">
        <v>0</v>
      </c>
      <c r="J94" s="445"/>
      <c r="K94" s="445"/>
      <c r="L94" s="445"/>
      <c r="M94" s="445"/>
      <c r="N94" s="445"/>
      <c r="O94" s="636"/>
      <c r="P94" s="445"/>
      <c r="Q94" s="627">
        <f>AVERAGE(E94:P94)</f>
        <v>0</v>
      </c>
      <c r="R94" s="315" t="str">
        <f>IF(Q94&lt;5,"SI","NO")</f>
        <v>SI</v>
      </c>
      <c r="S94" s="347" t="str">
        <f>IF(Q94&lt;5,"Sin Riesgo",IF(Q94 &lt;=14,"Bajo",IF(Q94&lt;=35,"Medio",IF(Q94&lt;=80,"Alto","Inviable Sanitariamente"))))</f>
        <v>Sin Riesgo</v>
      </c>
      <c r="T94" s="15"/>
    </row>
    <row r="95" spans="1:20" ht="32.1" customHeight="1">
      <c r="A95" s="452" t="s">
        <v>159</v>
      </c>
      <c r="B95" s="340" t="s">
        <v>2193</v>
      </c>
      <c r="C95" s="350" t="s">
        <v>4027</v>
      </c>
      <c r="D95" s="346">
        <v>540</v>
      </c>
      <c r="E95" s="445"/>
      <c r="F95" s="445"/>
      <c r="G95" s="445"/>
      <c r="H95" s="445"/>
      <c r="I95" s="445"/>
      <c r="J95" s="445"/>
      <c r="K95" s="445"/>
      <c r="L95" s="633">
        <v>0</v>
      </c>
      <c r="M95" s="445"/>
      <c r="N95" s="445"/>
      <c r="O95" s="636"/>
      <c r="P95" s="445"/>
      <c r="Q95" s="627">
        <f t="shared" si="8"/>
        <v>0</v>
      </c>
      <c r="R95" s="315" t="str">
        <f t="shared" si="6"/>
        <v>SI</v>
      </c>
      <c r="S95" s="347" t="str">
        <f t="shared" si="7"/>
        <v>Sin Riesgo</v>
      </c>
      <c r="T95" s="15"/>
    </row>
    <row r="96" spans="1:20" ht="32.1" customHeight="1">
      <c r="A96" s="597" t="s">
        <v>159</v>
      </c>
      <c r="B96" s="597" t="s">
        <v>87</v>
      </c>
      <c r="C96" s="600" t="s">
        <v>1619</v>
      </c>
      <c r="D96" s="304">
        <v>4081</v>
      </c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627"/>
      <c r="R96" s="315"/>
      <c r="S96" s="347"/>
      <c r="T96" s="15"/>
    </row>
    <row r="97" spans="1:20" ht="30">
      <c r="A97" s="597" t="s">
        <v>159</v>
      </c>
      <c r="B97" s="597" t="s">
        <v>1635</v>
      </c>
      <c r="C97" s="600" t="s">
        <v>1636</v>
      </c>
      <c r="D97" s="352">
        <v>60</v>
      </c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620"/>
      <c r="R97" s="315"/>
      <c r="S97" s="347"/>
      <c r="T97" s="36"/>
    </row>
    <row r="98" spans="1:20" ht="30">
      <c r="A98" s="597" t="s">
        <v>159</v>
      </c>
      <c r="B98" s="597" t="s">
        <v>4221</v>
      </c>
      <c r="C98" s="600" t="s">
        <v>4220</v>
      </c>
      <c r="D98" s="352">
        <v>45</v>
      </c>
      <c r="E98" s="368"/>
      <c r="F98" s="368"/>
      <c r="G98" s="368"/>
      <c r="H98" s="368"/>
      <c r="I98" s="368"/>
      <c r="J98" s="368">
        <v>21.2</v>
      </c>
      <c r="K98" s="368"/>
      <c r="L98" s="368"/>
      <c r="M98" s="368"/>
      <c r="N98" s="368"/>
      <c r="O98" s="368"/>
      <c r="P98" s="368"/>
      <c r="Q98" s="620">
        <f>(AVERAGE(E98:P98))</f>
        <v>21.2</v>
      </c>
      <c r="R98" s="315" t="str">
        <f t="shared" si="6"/>
        <v>NO</v>
      </c>
      <c r="S98" s="347" t="str">
        <f t="shared" si="7"/>
        <v>Medio</v>
      </c>
      <c r="T98" s="294"/>
    </row>
    <row r="99" spans="1:20" ht="32.1" customHeight="1">
      <c r="A99" s="597" t="s">
        <v>159</v>
      </c>
      <c r="B99" s="603" t="s">
        <v>2351</v>
      </c>
      <c r="C99" s="604" t="s">
        <v>4377</v>
      </c>
      <c r="D99" s="399">
        <v>45</v>
      </c>
      <c r="E99" s="445"/>
      <c r="F99" s="445"/>
      <c r="G99" s="445"/>
      <c r="H99" s="445"/>
      <c r="I99" s="445"/>
      <c r="J99" s="445"/>
      <c r="K99" s="445"/>
      <c r="L99" s="445"/>
      <c r="M99" s="445"/>
      <c r="N99" s="445">
        <v>97.35</v>
      </c>
      <c r="O99" s="445"/>
      <c r="P99" s="445"/>
      <c r="Q99" s="637">
        <f>AVERAGE(E99:P99)</f>
        <v>97.35</v>
      </c>
      <c r="R99" s="457" t="str">
        <f t="shared" si="6"/>
        <v>NO</v>
      </c>
      <c r="S99" s="458" t="str">
        <f t="shared" si="7"/>
        <v>Inviable Sanitariamente</v>
      </c>
      <c r="T99" s="294"/>
    </row>
    <row r="100" spans="1:20" ht="32.1" customHeight="1">
      <c r="A100" s="597" t="s">
        <v>159</v>
      </c>
      <c r="B100" s="597" t="s">
        <v>4378</v>
      </c>
      <c r="C100" s="597" t="s">
        <v>4379</v>
      </c>
      <c r="D100" s="346">
        <v>70</v>
      </c>
      <c r="E100" s="445"/>
      <c r="F100" s="445"/>
      <c r="G100" s="445"/>
      <c r="H100" s="445"/>
      <c r="I100" s="445"/>
      <c r="J100" s="445"/>
      <c r="K100" s="445"/>
      <c r="L100" s="445"/>
      <c r="M100" s="445"/>
      <c r="N100" s="445">
        <v>97.35</v>
      </c>
      <c r="O100" s="636"/>
      <c r="P100" s="445"/>
      <c r="Q100" s="637">
        <f>AVERAGE(E100:P100)</f>
        <v>97.35</v>
      </c>
      <c r="R100" s="457" t="str">
        <f t="shared" si="6"/>
        <v>NO</v>
      </c>
      <c r="S100" s="458" t="str">
        <f t="shared" si="7"/>
        <v>Inviable Sanitariamente</v>
      </c>
      <c r="T100" s="294"/>
    </row>
    <row r="101" spans="1:20" s="97" customFormat="1" ht="32.1" customHeight="1">
      <c r="A101" s="597" t="s">
        <v>3768</v>
      </c>
      <c r="B101" s="568" t="s">
        <v>1264</v>
      </c>
      <c r="C101" s="600" t="s">
        <v>1893</v>
      </c>
      <c r="D101" s="345">
        <v>128</v>
      </c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>
        <v>97.6</v>
      </c>
      <c r="Q101" s="620">
        <f t="shared" si="8"/>
        <v>97.6</v>
      </c>
      <c r="R101" s="315" t="str">
        <f t="shared" si="6"/>
        <v>NO</v>
      </c>
      <c r="S101" s="347" t="str">
        <f t="shared" si="7"/>
        <v>Inviable Sanitariamente</v>
      </c>
      <c r="T101" s="113"/>
    </row>
    <row r="102" spans="1:20" s="97" customFormat="1" ht="32.1" customHeight="1">
      <c r="A102" s="597" t="s">
        <v>3768</v>
      </c>
      <c r="B102" s="568" t="s">
        <v>1684</v>
      </c>
      <c r="C102" s="572" t="s">
        <v>1685</v>
      </c>
      <c r="D102" s="345">
        <v>289</v>
      </c>
      <c r="E102" s="368"/>
      <c r="F102" s="368">
        <v>0</v>
      </c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620">
        <f t="shared" si="8"/>
        <v>0</v>
      </c>
      <c r="R102" s="315" t="str">
        <f t="shared" si="6"/>
        <v>SI</v>
      </c>
      <c r="S102" s="347" t="str">
        <f t="shared" si="7"/>
        <v>Sin Riesgo</v>
      </c>
      <c r="T102" s="113"/>
    </row>
    <row r="103" spans="1:20" s="97" customFormat="1" ht="32.1" customHeight="1">
      <c r="A103" s="597" t="s">
        <v>3768</v>
      </c>
      <c r="B103" s="568" t="s">
        <v>1686</v>
      </c>
      <c r="C103" s="572" t="s">
        <v>1687</v>
      </c>
      <c r="D103" s="345">
        <v>62</v>
      </c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>
        <v>97.4</v>
      </c>
      <c r="Q103" s="620">
        <f t="shared" si="8"/>
        <v>97.4</v>
      </c>
      <c r="R103" s="315" t="str">
        <f t="shared" si="6"/>
        <v>NO</v>
      </c>
      <c r="S103" s="347" t="str">
        <f t="shared" si="7"/>
        <v>Inviable Sanitariamente</v>
      </c>
      <c r="T103" s="141"/>
    </row>
    <row r="104" spans="1:20" s="97" customFormat="1" ht="32.1" customHeight="1">
      <c r="A104" s="597" t="s">
        <v>3768</v>
      </c>
      <c r="B104" s="568" t="s">
        <v>1688</v>
      </c>
      <c r="C104" s="572" t="s">
        <v>1689</v>
      </c>
      <c r="D104" s="304">
        <v>41</v>
      </c>
      <c r="E104" s="368"/>
      <c r="F104" s="368"/>
      <c r="G104" s="368"/>
      <c r="H104" s="368"/>
      <c r="I104" s="368"/>
      <c r="J104" s="368">
        <v>97.4</v>
      </c>
      <c r="K104" s="368"/>
      <c r="L104" s="368"/>
      <c r="M104" s="368"/>
      <c r="N104" s="368">
        <v>97.4</v>
      </c>
      <c r="O104" s="368"/>
      <c r="P104" s="368"/>
      <c r="Q104" s="620">
        <f t="shared" si="8"/>
        <v>97.4</v>
      </c>
      <c r="R104" s="315" t="str">
        <f t="shared" si="6"/>
        <v>NO</v>
      </c>
      <c r="S104" s="347" t="str">
        <f t="shared" si="7"/>
        <v>Inviable Sanitariamente</v>
      </c>
      <c r="T104" s="113"/>
    </row>
    <row r="105" spans="1:20" s="97" customFormat="1" ht="32.1" customHeight="1">
      <c r="A105" s="597" t="s">
        <v>3768</v>
      </c>
      <c r="B105" s="568" t="s">
        <v>1690</v>
      </c>
      <c r="C105" s="572" t="s">
        <v>1691</v>
      </c>
      <c r="D105" s="304">
        <v>27</v>
      </c>
      <c r="E105" s="368"/>
      <c r="F105" s="368"/>
      <c r="G105" s="368"/>
      <c r="H105" s="368"/>
      <c r="I105" s="368"/>
      <c r="J105" s="368">
        <v>97.4</v>
      </c>
      <c r="K105" s="368"/>
      <c r="L105" s="368"/>
      <c r="M105" s="368"/>
      <c r="N105" s="368">
        <v>97.4</v>
      </c>
      <c r="O105" s="368"/>
      <c r="P105" s="368"/>
      <c r="Q105" s="620">
        <f t="shared" si="8"/>
        <v>97.4</v>
      </c>
      <c r="R105" s="315" t="str">
        <f t="shared" si="6"/>
        <v>NO</v>
      </c>
      <c r="S105" s="347" t="str">
        <f t="shared" si="7"/>
        <v>Inviable Sanitariamente</v>
      </c>
      <c r="T105" s="113"/>
    </row>
    <row r="106" spans="1:20" s="97" customFormat="1" ht="32.1" customHeight="1">
      <c r="A106" s="597" t="s">
        <v>3768</v>
      </c>
      <c r="B106" s="568" t="s">
        <v>755</v>
      </c>
      <c r="C106" s="572" t="s">
        <v>1692</v>
      </c>
      <c r="D106" s="304">
        <v>81</v>
      </c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>
        <v>97.35</v>
      </c>
      <c r="Q106" s="620">
        <f t="shared" si="8"/>
        <v>97.35</v>
      </c>
      <c r="R106" s="315" t="str">
        <f t="shared" si="6"/>
        <v>NO</v>
      </c>
      <c r="S106" s="347" t="str">
        <f t="shared" si="7"/>
        <v>Inviable Sanitariamente</v>
      </c>
      <c r="T106" s="113"/>
    </row>
    <row r="107" spans="1:20" s="97" customFormat="1" ht="32.1" customHeight="1">
      <c r="A107" s="597" t="s">
        <v>3768</v>
      </c>
      <c r="B107" s="568" t="s">
        <v>1693</v>
      </c>
      <c r="C107" s="572" t="s">
        <v>1694</v>
      </c>
      <c r="D107" s="304">
        <v>20</v>
      </c>
      <c r="E107" s="368"/>
      <c r="F107" s="368"/>
      <c r="G107" s="368"/>
      <c r="H107" s="368"/>
      <c r="I107" s="368"/>
      <c r="J107" s="368"/>
      <c r="K107" s="368"/>
      <c r="L107" s="368"/>
      <c r="M107" s="368"/>
      <c r="N107" s="368">
        <v>97.35</v>
      </c>
      <c r="O107" s="368"/>
      <c r="P107" s="368"/>
      <c r="Q107" s="620">
        <f t="shared" si="8"/>
        <v>97.35</v>
      </c>
      <c r="R107" s="315" t="str">
        <f t="shared" si="6"/>
        <v>NO</v>
      </c>
      <c r="S107" s="347" t="str">
        <f t="shared" si="7"/>
        <v>Inviable Sanitariamente</v>
      </c>
      <c r="T107" s="113"/>
    </row>
    <row r="108" spans="1:20" s="97" customFormat="1" ht="32.1" customHeight="1">
      <c r="A108" s="597" t="s">
        <v>3768</v>
      </c>
      <c r="B108" s="568" t="s">
        <v>1695</v>
      </c>
      <c r="C108" s="572" t="s">
        <v>1696</v>
      </c>
      <c r="D108" s="304">
        <v>59</v>
      </c>
      <c r="E108" s="368"/>
      <c r="F108" s="368"/>
      <c r="G108" s="368"/>
      <c r="H108" s="368"/>
      <c r="I108" s="368"/>
      <c r="J108" s="368"/>
      <c r="K108" s="368"/>
      <c r="L108" s="368"/>
      <c r="M108" s="368"/>
      <c r="N108" s="368">
        <v>97.35</v>
      </c>
      <c r="O108" s="368"/>
      <c r="P108" s="368"/>
      <c r="Q108" s="620">
        <f t="shared" si="8"/>
        <v>97.35</v>
      </c>
      <c r="R108" s="315" t="str">
        <f t="shared" ref="R108:R143" si="9">IF(Q108&lt;5,"SI","NO")</f>
        <v>NO</v>
      </c>
      <c r="S108" s="347" t="str">
        <f t="shared" si="7"/>
        <v>Inviable Sanitariamente</v>
      </c>
      <c r="T108" s="113"/>
    </row>
    <row r="109" spans="1:20" s="97" customFormat="1" ht="32.1" customHeight="1">
      <c r="A109" s="597" t="s">
        <v>3768</v>
      </c>
      <c r="B109" s="568" t="s">
        <v>1686</v>
      </c>
      <c r="C109" s="572" t="s">
        <v>1697</v>
      </c>
      <c r="D109" s="304">
        <v>98</v>
      </c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>
        <v>97.35</v>
      </c>
      <c r="Q109" s="620">
        <f t="shared" si="8"/>
        <v>97.35</v>
      </c>
      <c r="R109" s="315" t="str">
        <f t="shared" si="9"/>
        <v>NO</v>
      </c>
      <c r="S109" s="347" t="str">
        <f t="shared" si="7"/>
        <v>Inviable Sanitariamente</v>
      </c>
      <c r="T109" s="113"/>
    </row>
    <row r="110" spans="1:20" s="97" customFormat="1" ht="32.1" customHeight="1">
      <c r="A110" s="597" t="s">
        <v>3768</v>
      </c>
      <c r="B110" s="568" t="s">
        <v>95</v>
      </c>
      <c r="C110" s="572" t="s">
        <v>1698</v>
      </c>
      <c r="D110" s="304">
        <v>29</v>
      </c>
      <c r="E110" s="368"/>
      <c r="F110" s="368">
        <v>97.3</v>
      </c>
      <c r="G110" s="368"/>
      <c r="H110" s="368"/>
      <c r="I110" s="368"/>
      <c r="J110" s="368"/>
      <c r="K110" s="368"/>
      <c r="L110" s="368"/>
      <c r="M110" s="368"/>
      <c r="N110" s="368">
        <v>97.4</v>
      </c>
      <c r="O110" s="368"/>
      <c r="P110" s="368"/>
      <c r="Q110" s="620">
        <f t="shared" si="8"/>
        <v>97.35</v>
      </c>
      <c r="R110" s="315" t="str">
        <f t="shared" si="9"/>
        <v>NO</v>
      </c>
      <c r="S110" s="347" t="str">
        <f t="shared" si="7"/>
        <v>Inviable Sanitariamente</v>
      </c>
      <c r="T110" s="113"/>
    </row>
    <row r="111" spans="1:20" s="97" customFormat="1" ht="32.1" customHeight="1">
      <c r="A111" s="597" t="s">
        <v>3768</v>
      </c>
      <c r="B111" s="568" t="s">
        <v>1690</v>
      </c>
      <c r="C111" s="572" t="s">
        <v>1699</v>
      </c>
      <c r="D111" s="345">
        <v>35</v>
      </c>
      <c r="E111" s="368"/>
      <c r="F111" s="368"/>
      <c r="G111" s="368"/>
      <c r="H111" s="368"/>
      <c r="I111" s="368"/>
      <c r="J111" s="368">
        <v>97.3</v>
      </c>
      <c r="K111" s="368"/>
      <c r="L111" s="368"/>
      <c r="M111" s="368"/>
      <c r="N111" s="368"/>
      <c r="O111" s="368"/>
      <c r="P111" s="368"/>
      <c r="Q111" s="620">
        <f t="shared" si="8"/>
        <v>97.3</v>
      </c>
      <c r="R111" s="315" t="str">
        <f t="shared" si="9"/>
        <v>NO</v>
      </c>
      <c r="S111" s="347" t="str">
        <f t="shared" si="7"/>
        <v>Inviable Sanitariamente</v>
      </c>
      <c r="T111" s="113"/>
    </row>
    <row r="112" spans="1:20" s="97" customFormat="1" ht="32.1" customHeight="1">
      <c r="A112" s="597" t="s">
        <v>3768</v>
      </c>
      <c r="B112" s="568" t="s">
        <v>97</v>
      </c>
      <c r="C112" s="572" t="s">
        <v>1700</v>
      </c>
      <c r="D112" s="345">
        <v>40</v>
      </c>
      <c r="E112" s="368"/>
      <c r="F112" s="368"/>
      <c r="G112" s="368">
        <v>97.4</v>
      </c>
      <c r="H112" s="368"/>
      <c r="I112" s="368"/>
      <c r="J112" s="368"/>
      <c r="K112" s="368"/>
      <c r="L112" s="368"/>
      <c r="M112" s="368"/>
      <c r="N112" s="368"/>
      <c r="O112" s="368"/>
      <c r="P112" s="368"/>
      <c r="Q112" s="620">
        <f t="shared" si="8"/>
        <v>97.4</v>
      </c>
      <c r="R112" s="315" t="str">
        <f t="shared" si="9"/>
        <v>NO</v>
      </c>
      <c r="S112" s="347" t="str">
        <f t="shared" si="7"/>
        <v>Inviable Sanitariamente</v>
      </c>
      <c r="T112" s="113"/>
    </row>
    <row r="113" spans="1:20" s="145" customFormat="1" ht="32.1" customHeight="1">
      <c r="A113" s="452" t="s">
        <v>160</v>
      </c>
      <c r="B113" s="301" t="s">
        <v>1701</v>
      </c>
      <c r="C113" s="318" t="s">
        <v>1702</v>
      </c>
      <c r="D113" s="459">
        <v>74</v>
      </c>
      <c r="E113" s="638"/>
      <c r="F113" s="638"/>
      <c r="G113" s="638"/>
      <c r="H113" s="638">
        <v>96.37</v>
      </c>
      <c r="I113" s="638"/>
      <c r="J113" s="638"/>
      <c r="K113" s="638"/>
      <c r="L113" s="638"/>
      <c r="M113" s="638"/>
      <c r="N113" s="638"/>
      <c r="O113" s="638">
        <v>96.37</v>
      </c>
      <c r="P113" s="638"/>
      <c r="Q113" s="620">
        <f t="shared" si="8"/>
        <v>96.37</v>
      </c>
      <c r="R113" s="315" t="str">
        <f t="shared" si="9"/>
        <v>NO</v>
      </c>
      <c r="S113" s="347" t="str">
        <f t="shared" si="7"/>
        <v>Inviable Sanitariamente</v>
      </c>
      <c r="T113" s="144"/>
    </row>
    <row r="114" spans="1:20" s="145" customFormat="1" ht="32.1" customHeight="1">
      <c r="A114" s="452" t="s">
        <v>160</v>
      </c>
      <c r="B114" s="301" t="s">
        <v>0</v>
      </c>
      <c r="C114" s="318" t="s">
        <v>1703</v>
      </c>
      <c r="D114" s="460">
        <v>12</v>
      </c>
      <c r="E114" s="638"/>
      <c r="F114" s="638"/>
      <c r="G114" s="638">
        <v>96.37</v>
      </c>
      <c r="H114" s="638"/>
      <c r="I114" s="638"/>
      <c r="J114" s="638"/>
      <c r="K114" s="638"/>
      <c r="L114" s="638">
        <v>96.37</v>
      </c>
      <c r="M114" s="638"/>
      <c r="N114" s="638"/>
      <c r="O114" s="638"/>
      <c r="P114" s="638"/>
      <c r="Q114" s="620">
        <f t="shared" si="8"/>
        <v>96.37</v>
      </c>
      <c r="R114" s="315" t="str">
        <f t="shared" si="9"/>
        <v>NO</v>
      </c>
      <c r="S114" s="347" t="str">
        <f t="shared" si="7"/>
        <v>Inviable Sanitariamente</v>
      </c>
      <c r="T114" s="144"/>
    </row>
    <row r="115" spans="1:20" s="145" customFormat="1" ht="32.1" customHeight="1">
      <c r="A115" s="452" t="s">
        <v>160</v>
      </c>
      <c r="B115" s="301" t="s">
        <v>1704</v>
      </c>
      <c r="C115" s="318" t="s">
        <v>1705</v>
      </c>
      <c r="D115" s="460">
        <v>38</v>
      </c>
      <c r="E115" s="638"/>
      <c r="F115" s="638"/>
      <c r="G115" s="638"/>
      <c r="H115" s="638">
        <v>96.37</v>
      </c>
      <c r="I115" s="638"/>
      <c r="J115" s="638"/>
      <c r="K115" s="638"/>
      <c r="L115" s="638"/>
      <c r="M115" s="638"/>
      <c r="N115" s="638">
        <v>96.37</v>
      </c>
      <c r="O115" s="638"/>
      <c r="P115" s="638"/>
      <c r="Q115" s="620">
        <f t="shared" si="8"/>
        <v>96.37</v>
      </c>
      <c r="R115" s="315" t="str">
        <f t="shared" si="9"/>
        <v>NO</v>
      </c>
      <c r="S115" s="347" t="str">
        <f t="shared" si="7"/>
        <v>Inviable Sanitariamente</v>
      </c>
      <c r="T115" s="144"/>
    </row>
    <row r="116" spans="1:20" s="145" customFormat="1" ht="32.1" customHeight="1">
      <c r="A116" s="452" t="s">
        <v>160</v>
      </c>
      <c r="B116" s="301" t="s">
        <v>1706</v>
      </c>
      <c r="C116" s="318" t="s">
        <v>1707</v>
      </c>
      <c r="D116" s="459">
        <v>26</v>
      </c>
      <c r="E116" s="638"/>
      <c r="F116" s="638">
        <v>0</v>
      </c>
      <c r="G116" s="638"/>
      <c r="H116" s="638"/>
      <c r="I116" s="638"/>
      <c r="J116" s="638"/>
      <c r="K116" s="638"/>
      <c r="L116" s="638"/>
      <c r="M116" s="638">
        <v>0</v>
      </c>
      <c r="N116" s="638"/>
      <c r="O116" s="638"/>
      <c r="P116" s="638"/>
      <c r="Q116" s="620">
        <f t="shared" si="8"/>
        <v>0</v>
      </c>
      <c r="R116" s="315" t="str">
        <f t="shared" si="9"/>
        <v>SI</v>
      </c>
      <c r="S116" s="347" t="str">
        <f t="shared" si="7"/>
        <v>Sin Riesgo</v>
      </c>
      <c r="T116" s="144"/>
    </row>
    <row r="117" spans="1:20" s="145" customFormat="1" ht="32.1" customHeight="1">
      <c r="A117" s="452" t="s">
        <v>160</v>
      </c>
      <c r="B117" s="301" t="s">
        <v>1708</v>
      </c>
      <c r="C117" s="318" t="s">
        <v>1709</v>
      </c>
      <c r="D117" s="459">
        <v>48</v>
      </c>
      <c r="E117" s="638"/>
      <c r="F117" s="638"/>
      <c r="G117" s="632"/>
      <c r="H117" s="638">
        <v>0</v>
      </c>
      <c r="I117" s="638"/>
      <c r="J117" s="638"/>
      <c r="K117" s="638"/>
      <c r="L117" s="638"/>
      <c r="M117" s="638">
        <v>0</v>
      </c>
      <c r="N117" s="638"/>
      <c r="O117" s="638"/>
      <c r="P117" s="638"/>
      <c r="Q117" s="620">
        <f t="shared" si="8"/>
        <v>0</v>
      </c>
      <c r="R117" s="315" t="str">
        <f t="shared" si="9"/>
        <v>SI</v>
      </c>
      <c r="S117" s="347" t="str">
        <f t="shared" si="7"/>
        <v>Sin Riesgo</v>
      </c>
      <c r="T117" s="144"/>
    </row>
    <row r="118" spans="1:20" s="145" customFormat="1" ht="32.1" customHeight="1">
      <c r="A118" s="452" t="s">
        <v>160</v>
      </c>
      <c r="B118" s="301" t="s">
        <v>1192</v>
      </c>
      <c r="C118" s="318" t="s">
        <v>1710</v>
      </c>
      <c r="D118" s="461">
        <v>46</v>
      </c>
      <c r="E118" s="638"/>
      <c r="F118" s="638">
        <v>0</v>
      </c>
      <c r="G118" s="638"/>
      <c r="H118" s="638"/>
      <c r="I118" s="638"/>
      <c r="J118" s="638"/>
      <c r="K118" s="638"/>
      <c r="L118" s="638"/>
      <c r="M118" s="638">
        <v>0</v>
      </c>
      <c r="N118" s="638"/>
      <c r="O118" s="638"/>
      <c r="P118" s="638"/>
      <c r="Q118" s="620">
        <f t="shared" si="8"/>
        <v>0</v>
      </c>
      <c r="R118" s="315" t="str">
        <f t="shared" si="9"/>
        <v>SI</v>
      </c>
      <c r="S118" s="347" t="str">
        <f t="shared" si="7"/>
        <v>Sin Riesgo</v>
      </c>
      <c r="T118" s="144"/>
    </row>
    <row r="119" spans="1:20" s="145" customFormat="1" ht="32.1" customHeight="1">
      <c r="A119" s="452" t="s">
        <v>160</v>
      </c>
      <c r="B119" s="301" t="s">
        <v>822</v>
      </c>
      <c r="C119" s="318" t="s">
        <v>1711</v>
      </c>
      <c r="D119" s="459">
        <v>82</v>
      </c>
      <c r="E119" s="638"/>
      <c r="F119" s="638"/>
      <c r="G119" s="638">
        <v>0</v>
      </c>
      <c r="H119" s="638"/>
      <c r="I119" s="638"/>
      <c r="J119" s="638"/>
      <c r="K119" s="638"/>
      <c r="L119" s="638"/>
      <c r="M119" s="638"/>
      <c r="N119" s="638"/>
      <c r="O119" s="638">
        <v>0</v>
      </c>
      <c r="P119" s="638"/>
      <c r="Q119" s="620">
        <f t="shared" si="8"/>
        <v>0</v>
      </c>
      <c r="R119" s="315" t="str">
        <f t="shared" si="9"/>
        <v>SI</v>
      </c>
      <c r="S119" s="347" t="str">
        <f t="shared" si="7"/>
        <v>Sin Riesgo</v>
      </c>
      <c r="T119" s="144"/>
    </row>
    <row r="120" spans="1:20" s="145" customFormat="1" ht="32.1" customHeight="1">
      <c r="A120" s="452" t="s">
        <v>160</v>
      </c>
      <c r="B120" s="344" t="s">
        <v>536</v>
      </c>
      <c r="C120" s="349" t="s">
        <v>1712</v>
      </c>
      <c r="D120" s="459">
        <v>15</v>
      </c>
      <c r="E120" s="638"/>
      <c r="F120" s="638"/>
      <c r="G120" s="638"/>
      <c r="H120" s="638">
        <v>0</v>
      </c>
      <c r="I120" s="638"/>
      <c r="J120" s="638"/>
      <c r="K120" s="638"/>
      <c r="L120" s="638"/>
      <c r="M120" s="638">
        <v>0</v>
      </c>
      <c r="N120" s="638"/>
      <c r="O120" s="638"/>
      <c r="P120" s="638"/>
      <c r="Q120" s="620">
        <f t="shared" si="8"/>
        <v>0</v>
      </c>
      <c r="R120" s="315" t="str">
        <f t="shared" si="9"/>
        <v>SI</v>
      </c>
      <c r="S120" s="347" t="str">
        <f t="shared" si="7"/>
        <v>Sin Riesgo</v>
      </c>
      <c r="T120" s="144"/>
    </row>
    <row r="121" spans="1:20" s="145" customFormat="1" ht="32.1" customHeight="1">
      <c r="A121" s="452" t="s">
        <v>160</v>
      </c>
      <c r="B121" s="344" t="s">
        <v>1714</v>
      </c>
      <c r="C121" s="349" t="s">
        <v>1715</v>
      </c>
      <c r="D121" s="459">
        <v>30</v>
      </c>
      <c r="E121" s="638"/>
      <c r="F121" s="638"/>
      <c r="G121" s="638"/>
      <c r="H121" s="638">
        <v>0</v>
      </c>
      <c r="I121" s="638"/>
      <c r="J121" s="638"/>
      <c r="K121" s="638"/>
      <c r="L121" s="638"/>
      <c r="M121" s="638"/>
      <c r="N121" s="638"/>
      <c r="O121" s="638">
        <v>0</v>
      </c>
      <c r="P121" s="638"/>
      <c r="Q121" s="620">
        <f t="shared" si="8"/>
        <v>0</v>
      </c>
      <c r="R121" s="315" t="str">
        <f t="shared" si="9"/>
        <v>SI</v>
      </c>
      <c r="S121" s="347" t="str">
        <f t="shared" si="7"/>
        <v>Sin Riesgo</v>
      </c>
      <c r="T121" s="144"/>
    </row>
    <row r="122" spans="1:20" s="145" customFormat="1" ht="32.1" customHeight="1">
      <c r="A122" s="452" t="s">
        <v>160</v>
      </c>
      <c r="B122" s="344" t="s">
        <v>1716</v>
      </c>
      <c r="C122" s="349" t="s">
        <v>1717</v>
      </c>
      <c r="D122" s="462">
        <v>32</v>
      </c>
      <c r="E122" s="638"/>
      <c r="F122" s="638"/>
      <c r="G122" s="638">
        <v>0</v>
      </c>
      <c r="H122" s="638"/>
      <c r="I122" s="638"/>
      <c r="J122" s="638"/>
      <c r="K122" s="638"/>
      <c r="L122" s="638"/>
      <c r="M122" s="638"/>
      <c r="N122" s="638"/>
      <c r="O122" s="638">
        <v>0</v>
      </c>
      <c r="P122" s="638"/>
      <c r="Q122" s="620">
        <f t="shared" si="8"/>
        <v>0</v>
      </c>
      <c r="R122" s="315" t="str">
        <f t="shared" si="9"/>
        <v>SI</v>
      </c>
      <c r="S122" s="347" t="str">
        <f t="shared" si="7"/>
        <v>Sin Riesgo</v>
      </c>
      <c r="T122" s="144"/>
    </row>
    <row r="123" spans="1:20" s="145" customFormat="1" ht="32.1" customHeight="1">
      <c r="A123" s="452" t="s">
        <v>160</v>
      </c>
      <c r="B123" s="344" t="s">
        <v>1718</v>
      </c>
      <c r="C123" s="349" t="s">
        <v>1719</v>
      </c>
      <c r="D123" s="461">
        <v>17</v>
      </c>
      <c r="E123" s="638"/>
      <c r="F123" s="638">
        <v>0</v>
      </c>
      <c r="G123" s="638"/>
      <c r="H123" s="638"/>
      <c r="I123" s="638"/>
      <c r="J123" s="638"/>
      <c r="K123" s="638"/>
      <c r="L123" s="638">
        <v>0</v>
      </c>
      <c r="M123" s="638"/>
      <c r="N123" s="638"/>
      <c r="O123" s="638"/>
      <c r="P123" s="638"/>
      <c r="Q123" s="620">
        <f t="shared" si="8"/>
        <v>0</v>
      </c>
      <c r="R123" s="315" t="str">
        <f t="shared" si="9"/>
        <v>SI</v>
      </c>
      <c r="S123" s="347" t="str">
        <f t="shared" si="7"/>
        <v>Sin Riesgo</v>
      </c>
      <c r="T123" s="144"/>
    </row>
    <row r="124" spans="1:20" s="145" customFormat="1" ht="32.1" customHeight="1">
      <c r="A124" s="595" t="s">
        <v>160</v>
      </c>
      <c r="B124" s="605" t="s">
        <v>1891</v>
      </c>
      <c r="C124" s="598" t="s">
        <v>1892</v>
      </c>
      <c r="D124" s="353">
        <v>600</v>
      </c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620"/>
      <c r="R124" s="315"/>
      <c r="S124" s="347"/>
      <c r="T124" s="144"/>
    </row>
    <row r="125" spans="1:20" s="145" customFormat="1" ht="32.1" customHeight="1">
      <c r="A125" s="452" t="s">
        <v>160</v>
      </c>
      <c r="B125" s="398" t="s">
        <v>4380</v>
      </c>
      <c r="C125" s="554" t="s">
        <v>4381</v>
      </c>
      <c r="D125" s="432">
        <v>37</v>
      </c>
      <c r="E125" s="445"/>
      <c r="F125" s="445">
        <v>0</v>
      </c>
      <c r="G125" s="445"/>
      <c r="H125" s="445"/>
      <c r="I125" s="445"/>
      <c r="J125" s="445"/>
      <c r="K125" s="445"/>
      <c r="L125" s="445"/>
      <c r="M125" s="445">
        <v>0</v>
      </c>
      <c r="N125" s="445"/>
      <c r="O125" s="445"/>
      <c r="P125" s="445"/>
      <c r="Q125" s="620">
        <f t="shared" ref="Q125:Q132" si="10">AVERAGE(E125:P125)</f>
        <v>0</v>
      </c>
      <c r="R125" s="315" t="str">
        <f t="shared" ref="R125:R132" si="11">IF(Q125&lt;5,"SI","NO")</f>
        <v>SI</v>
      </c>
      <c r="S125" s="347" t="str">
        <f t="shared" ref="S125:S132" si="12">IF(Q125&lt;5,"Sin Riesgo",IF(Q125 &lt;=14,"Bajo",IF(Q125&lt;=35,"Medio",IF(Q125&lt;=80,"Alto","Inviable Sanitariamente"))))</f>
        <v>Sin Riesgo</v>
      </c>
      <c r="T125" s="144"/>
    </row>
    <row r="126" spans="1:20" s="145" customFormat="1" ht="32.1" customHeight="1">
      <c r="A126" s="452" t="s">
        <v>160</v>
      </c>
      <c r="B126" s="398" t="s">
        <v>4382</v>
      </c>
      <c r="C126" s="554" t="s">
        <v>4383</v>
      </c>
      <c r="D126" s="410">
        <v>7</v>
      </c>
      <c r="E126" s="445"/>
      <c r="F126" s="445">
        <v>0</v>
      </c>
      <c r="G126" s="445"/>
      <c r="H126" s="445"/>
      <c r="I126" s="445"/>
      <c r="J126" s="445"/>
      <c r="K126" s="445"/>
      <c r="L126" s="445">
        <v>0</v>
      </c>
      <c r="M126" s="445"/>
      <c r="N126" s="445"/>
      <c r="O126" s="445"/>
      <c r="P126" s="445"/>
      <c r="Q126" s="620">
        <f t="shared" si="10"/>
        <v>0</v>
      </c>
      <c r="R126" s="315" t="str">
        <f t="shared" si="11"/>
        <v>SI</v>
      </c>
      <c r="S126" s="347" t="str">
        <f t="shared" si="12"/>
        <v>Sin Riesgo</v>
      </c>
      <c r="T126" s="144"/>
    </row>
    <row r="127" spans="1:20" s="145" customFormat="1" ht="32.1" customHeight="1">
      <c r="A127" s="452" t="s">
        <v>160</v>
      </c>
      <c r="B127" s="398" t="s">
        <v>4384</v>
      </c>
      <c r="C127" s="555" t="s">
        <v>4385</v>
      </c>
      <c r="D127" s="432">
        <v>30</v>
      </c>
      <c r="E127" s="445"/>
      <c r="F127" s="445">
        <v>96.37</v>
      </c>
      <c r="G127" s="445"/>
      <c r="H127" s="445"/>
      <c r="I127" s="445"/>
      <c r="J127" s="445"/>
      <c r="K127" s="445"/>
      <c r="L127" s="445"/>
      <c r="M127" s="445"/>
      <c r="N127" s="445">
        <v>96.37</v>
      </c>
      <c r="O127" s="445"/>
      <c r="P127" s="445"/>
      <c r="Q127" s="620">
        <f t="shared" si="10"/>
        <v>96.37</v>
      </c>
      <c r="R127" s="315" t="str">
        <f t="shared" si="11"/>
        <v>NO</v>
      </c>
      <c r="S127" s="347" t="str">
        <f t="shared" si="12"/>
        <v>Inviable Sanitariamente</v>
      </c>
      <c r="T127" s="144"/>
    </row>
    <row r="128" spans="1:20" s="145" customFormat="1" ht="32.1" customHeight="1">
      <c r="A128" s="452" t="s">
        <v>160</v>
      </c>
      <c r="B128" s="398" t="s">
        <v>4386</v>
      </c>
      <c r="C128" s="556" t="s">
        <v>4387</v>
      </c>
      <c r="D128" s="432">
        <v>43</v>
      </c>
      <c r="E128" s="445"/>
      <c r="F128" s="445"/>
      <c r="G128" s="445">
        <v>96.37</v>
      </c>
      <c r="H128" s="445"/>
      <c r="I128" s="445"/>
      <c r="J128" s="445"/>
      <c r="K128" s="445"/>
      <c r="L128" s="445"/>
      <c r="M128" s="445"/>
      <c r="N128" s="445">
        <v>96.37</v>
      </c>
      <c r="O128" s="445"/>
      <c r="P128" s="445"/>
      <c r="Q128" s="620">
        <f t="shared" si="10"/>
        <v>96.37</v>
      </c>
      <c r="R128" s="315" t="str">
        <f t="shared" si="11"/>
        <v>NO</v>
      </c>
      <c r="S128" s="347" t="str">
        <f t="shared" si="12"/>
        <v>Inviable Sanitariamente</v>
      </c>
      <c r="T128" s="144"/>
    </row>
    <row r="129" spans="1:20" s="145" customFormat="1" ht="32.1" customHeight="1">
      <c r="A129" s="452" t="s">
        <v>160</v>
      </c>
      <c r="B129" s="398" t="s">
        <v>2104</v>
      </c>
      <c r="C129" s="557" t="s">
        <v>4388</v>
      </c>
      <c r="D129" s="432">
        <v>35</v>
      </c>
      <c r="E129" s="445"/>
      <c r="F129" s="445"/>
      <c r="G129" s="445">
        <v>96.37</v>
      </c>
      <c r="H129" s="445"/>
      <c r="I129" s="445"/>
      <c r="J129" s="445"/>
      <c r="K129" s="445"/>
      <c r="L129" s="445"/>
      <c r="M129" s="445"/>
      <c r="N129" s="445">
        <v>96.37</v>
      </c>
      <c r="O129" s="445"/>
      <c r="P129" s="445"/>
      <c r="Q129" s="620">
        <f t="shared" si="10"/>
        <v>96.37</v>
      </c>
      <c r="R129" s="315" t="str">
        <f t="shared" si="11"/>
        <v>NO</v>
      </c>
      <c r="S129" s="347" t="str">
        <f t="shared" si="12"/>
        <v>Inviable Sanitariamente</v>
      </c>
      <c r="T129" s="144"/>
    </row>
    <row r="130" spans="1:20" s="145" customFormat="1" ht="32.1" customHeight="1">
      <c r="A130" s="452" t="s">
        <v>160</v>
      </c>
      <c r="B130" s="398" t="s">
        <v>4384</v>
      </c>
      <c r="C130" s="557" t="s">
        <v>4389</v>
      </c>
      <c r="D130" s="432">
        <v>42</v>
      </c>
      <c r="E130" s="445"/>
      <c r="F130" s="445"/>
      <c r="G130" s="445">
        <v>96.37</v>
      </c>
      <c r="H130" s="445"/>
      <c r="I130" s="632"/>
      <c r="J130" s="445"/>
      <c r="K130" s="445"/>
      <c r="L130" s="445"/>
      <c r="M130" s="445"/>
      <c r="N130" s="445">
        <v>96.37</v>
      </c>
      <c r="O130" s="445"/>
      <c r="P130" s="445"/>
      <c r="Q130" s="620">
        <f t="shared" si="10"/>
        <v>96.37</v>
      </c>
      <c r="R130" s="315" t="str">
        <f t="shared" si="11"/>
        <v>NO</v>
      </c>
      <c r="S130" s="347" t="str">
        <f t="shared" si="12"/>
        <v>Inviable Sanitariamente</v>
      </c>
      <c r="T130" s="144"/>
    </row>
    <row r="131" spans="1:20" s="145" customFormat="1" ht="32.1" customHeight="1">
      <c r="A131" s="452" t="s">
        <v>160</v>
      </c>
      <c r="B131" s="398" t="s">
        <v>4390</v>
      </c>
      <c r="C131" s="557" t="s">
        <v>4391</v>
      </c>
      <c r="D131" s="432">
        <v>17</v>
      </c>
      <c r="E131" s="445"/>
      <c r="F131" s="445"/>
      <c r="G131" s="445"/>
      <c r="H131" s="445">
        <v>96.37</v>
      </c>
      <c r="I131" s="445"/>
      <c r="J131" s="445"/>
      <c r="K131" s="445"/>
      <c r="L131" s="445">
        <v>96.37</v>
      </c>
      <c r="M131" s="445"/>
      <c r="N131" s="445"/>
      <c r="O131" s="445"/>
      <c r="P131" s="445"/>
      <c r="Q131" s="620">
        <f t="shared" si="10"/>
        <v>96.37</v>
      </c>
      <c r="R131" s="315" t="str">
        <f t="shared" si="11"/>
        <v>NO</v>
      </c>
      <c r="S131" s="347" t="str">
        <f t="shared" si="12"/>
        <v>Inviable Sanitariamente</v>
      </c>
      <c r="T131" s="144"/>
    </row>
    <row r="132" spans="1:20" s="145" customFormat="1" ht="32.1" customHeight="1">
      <c r="A132" s="452" t="s">
        <v>160</v>
      </c>
      <c r="B132" s="554" t="s">
        <v>4392</v>
      </c>
      <c r="C132" s="398" t="s">
        <v>4393</v>
      </c>
      <c r="D132" s="432">
        <v>7</v>
      </c>
      <c r="E132" s="445"/>
      <c r="F132" s="445"/>
      <c r="G132" s="445"/>
      <c r="H132" s="445"/>
      <c r="I132" s="445">
        <v>0</v>
      </c>
      <c r="J132" s="445"/>
      <c r="K132" s="445"/>
      <c r="L132" s="445"/>
      <c r="M132" s="445">
        <v>0</v>
      </c>
      <c r="N132" s="445"/>
      <c r="O132" s="445"/>
      <c r="P132" s="445"/>
      <c r="Q132" s="620">
        <f t="shared" si="10"/>
        <v>0</v>
      </c>
      <c r="R132" s="315" t="str">
        <f t="shared" si="11"/>
        <v>SI</v>
      </c>
      <c r="S132" s="347" t="str">
        <f t="shared" si="12"/>
        <v>Sin Riesgo</v>
      </c>
      <c r="T132" s="144"/>
    </row>
    <row r="133" spans="1:20" s="143" customFormat="1" ht="32.1" customHeight="1">
      <c r="A133" s="452" t="s">
        <v>46</v>
      </c>
      <c r="B133" s="324" t="s">
        <v>1890</v>
      </c>
      <c r="C133" s="318" t="s">
        <v>1720</v>
      </c>
      <c r="D133" s="304">
        <v>285</v>
      </c>
      <c r="E133" s="445"/>
      <c r="F133" s="445">
        <v>53.1</v>
      </c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620">
        <f t="shared" si="8"/>
        <v>53.1</v>
      </c>
      <c r="R133" s="331" t="str">
        <f t="shared" si="9"/>
        <v>NO</v>
      </c>
      <c r="S133" s="347" t="str">
        <f t="shared" si="7"/>
        <v>Alto</v>
      </c>
      <c r="T133" s="142"/>
    </row>
    <row r="134" spans="1:20" s="143" customFormat="1" ht="32.1" customHeight="1">
      <c r="A134" s="452" t="s">
        <v>46</v>
      </c>
      <c r="B134" s="324" t="s">
        <v>1721</v>
      </c>
      <c r="C134" s="318" t="s">
        <v>1722</v>
      </c>
      <c r="D134" s="304">
        <v>205</v>
      </c>
      <c r="E134" s="445"/>
      <c r="F134" s="445"/>
      <c r="G134" s="445"/>
      <c r="H134" s="445"/>
      <c r="I134" s="445"/>
      <c r="J134" s="445"/>
      <c r="K134" s="445"/>
      <c r="L134" s="445"/>
      <c r="M134" s="445">
        <v>97.3</v>
      </c>
      <c r="N134" s="445"/>
      <c r="O134" s="445"/>
      <c r="P134" s="445"/>
      <c r="Q134" s="620">
        <f t="shared" si="8"/>
        <v>97.3</v>
      </c>
      <c r="R134" s="331" t="str">
        <f t="shared" si="9"/>
        <v>NO</v>
      </c>
      <c r="S134" s="347" t="str">
        <f t="shared" si="7"/>
        <v>Inviable Sanitariamente</v>
      </c>
      <c r="T134" s="142"/>
    </row>
    <row r="135" spans="1:20" s="143" customFormat="1" ht="32.1" customHeight="1">
      <c r="A135" s="452" t="s">
        <v>46</v>
      </c>
      <c r="B135" s="324" t="s">
        <v>1723</v>
      </c>
      <c r="C135" s="318" t="s">
        <v>1724</v>
      </c>
      <c r="D135" s="304">
        <v>168</v>
      </c>
      <c r="E135" s="445"/>
      <c r="F135" s="445"/>
      <c r="G135" s="445"/>
      <c r="H135" s="445"/>
      <c r="I135" s="445">
        <v>53.1</v>
      </c>
      <c r="J135" s="445"/>
      <c r="K135" s="445"/>
      <c r="L135" s="445"/>
      <c r="M135" s="445"/>
      <c r="N135" s="445"/>
      <c r="O135" s="445"/>
      <c r="P135" s="445"/>
      <c r="Q135" s="620">
        <f t="shared" si="8"/>
        <v>53.1</v>
      </c>
      <c r="R135" s="331" t="str">
        <f t="shared" si="9"/>
        <v>NO</v>
      </c>
      <c r="S135" s="347" t="str">
        <f t="shared" si="7"/>
        <v>Alto</v>
      </c>
      <c r="T135" s="142"/>
    </row>
    <row r="136" spans="1:20" s="143" customFormat="1" ht="32.1" customHeight="1">
      <c r="A136" s="452" t="s">
        <v>46</v>
      </c>
      <c r="B136" s="324" t="s">
        <v>1725</v>
      </c>
      <c r="C136" s="318" t="s">
        <v>1726</v>
      </c>
      <c r="D136" s="304">
        <v>210</v>
      </c>
      <c r="E136" s="445"/>
      <c r="F136" s="445"/>
      <c r="G136" s="445"/>
      <c r="H136" s="445">
        <v>53.1</v>
      </c>
      <c r="I136" s="445"/>
      <c r="J136" s="445"/>
      <c r="K136" s="445"/>
      <c r="L136" s="445"/>
      <c r="M136" s="445"/>
      <c r="N136" s="445"/>
      <c r="O136" s="445"/>
      <c r="P136" s="445"/>
      <c r="Q136" s="620">
        <f t="shared" si="8"/>
        <v>53.1</v>
      </c>
      <c r="R136" s="331" t="str">
        <f t="shared" si="9"/>
        <v>NO</v>
      </c>
      <c r="S136" s="347" t="str">
        <f t="shared" si="7"/>
        <v>Alto</v>
      </c>
      <c r="T136" s="142"/>
    </row>
    <row r="137" spans="1:20" s="143" customFormat="1" ht="32.1" customHeight="1">
      <c r="A137" s="452" t="s">
        <v>46</v>
      </c>
      <c r="B137" s="324" t="s">
        <v>1727</v>
      </c>
      <c r="C137" s="318" t="s">
        <v>1728</v>
      </c>
      <c r="D137" s="304">
        <v>170</v>
      </c>
      <c r="E137" s="445"/>
      <c r="F137" s="445"/>
      <c r="G137" s="445"/>
      <c r="H137" s="445"/>
      <c r="I137" s="445">
        <v>53.1</v>
      </c>
      <c r="J137" s="445"/>
      <c r="K137" s="445"/>
      <c r="L137" s="445"/>
      <c r="M137" s="445"/>
      <c r="N137" s="445"/>
      <c r="O137" s="445"/>
      <c r="P137" s="445"/>
      <c r="Q137" s="620">
        <f t="shared" si="8"/>
        <v>53.1</v>
      </c>
      <c r="R137" s="331" t="str">
        <f t="shared" si="9"/>
        <v>NO</v>
      </c>
      <c r="S137" s="347" t="str">
        <f t="shared" si="7"/>
        <v>Alto</v>
      </c>
      <c r="T137" s="142"/>
    </row>
    <row r="138" spans="1:20" s="143" customFormat="1" ht="32.1" customHeight="1">
      <c r="A138" s="452" t="s">
        <v>46</v>
      </c>
      <c r="B138" s="324" t="s">
        <v>1264</v>
      </c>
      <c r="C138" s="318" t="s">
        <v>1729</v>
      </c>
      <c r="D138" s="304">
        <v>325</v>
      </c>
      <c r="E138" s="445"/>
      <c r="F138" s="445">
        <v>0</v>
      </c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620">
        <f t="shared" si="8"/>
        <v>0</v>
      </c>
      <c r="R138" s="331" t="str">
        <f t="shared" si="9"/>
        <v>SI</v>
      </c>
      <c r="S138" s="347" t="str">
        <f t="shared" si="7"/>
        <v>Sin Riesgo</v>
      </c>
      <c r="T138" s="142"/>
    </row>
    <row r="139" spans="1:20" s="143" customFormat="1" ht="32.1" customHeight="1">
      <c r="A139" s="452" t="s">
        <v>46</v>
      </c>
      <c r="B139" s="324" t="s">
        <v>1730</v>
      </c>
      <c r="C139" s="318" t="s">
        <v>1731</v>
      </c>
      <c r="D139" s="304">
        <v>220</v>
      </c>
      <c r="E139" s="445"/>
      <c r="F139" s="445"/>
      <c r="G139" s="445"/>
      <c r="H139" s="445"/>
      <c r="I139" s="445"/>
      <c r="J139" s="445"/>
      <c r="K139" s="445"/>
      <c r="L139" s="445">
        <v>97.3</v>
      </c>
      <c r="M139" s="445"/>
      <c r="N139" s="445"/>
      <c r="O139" s="445"/>
      <c r="P139" s="445"/>
      <c r="Q139" s="620">
        <f t="shared" si="8"/>
        <v>97.3</v>
      </c>
      <c r="R139" s="331" t="str">
        <f t="shared" si="9"/>
        <v>NO</v>
      </c>
      <c r="S139" s="347" t="str">
        <f t="shared" si="7"/>
        <v>Inviable Sanitariamente</v>
      </c>
      <c r="T139" s="142"/>
    </row>
    <row r="140" spans="1:20" s="143" customFormat="1" ht="32.1" customHeight="1">
      <c r="A140" s="452" t="s">
        <v>46</v>
      </c>
      <c r="B140" s="324" t="s">
        <v>1732</v>
      </c>
      <c r="C140" s="318" t="s">
        <v>1733</v>
      </c>
      <c r="D140" s="304">
        <v>110</v>
      </c>
      <c r="E140" s="445"/>
      <c r="F140" s="445"/>
      <c r="G140" s="445"/>
      <c r="H140" s="445"/>
      <c r="I140" s="445"/>
      <c r="J140" s="445"/>
      <c r="K140" s="445"/>
      <c r="L140" s="445"/>
      <c r="M140" s="445">
        <v>53.1</v>
      </c>
      <c r="N140" s="445"/>
      <c r="O140" s="445"/>
      <c r="P140" s="445"/>
      <c r="Q140" s="620">
        <f t="shared" si="8"/>
        <v>53.1</v>
      </c>
      <c r="R140" s="331" t="str">
        <f t="shared" si="9"/>
        <v>NO</v>
      </c>
      <c r="S140" s="347" t="str">
        <f t="shared" si="7"/>
        <v>Alto</v>
      </c>
      <c r="T140" s="142"/>
    </row>
    <row r="141" spans="1:20" s="143" customFormat="1" ht="32.1" customHeight="1">
      <c r="A141" s="452" t="s">
        <v>46</v>
      </c>
      <c r="B141" s="324" t="s">
        <v>652</v>
      </c>
      <c r="C141" s="318" t="s">
        <v>1734</v>
      </c>
      <c r="D141" s="304">
        <v>508</v>
      </c>
      <c r="E141" s="445"/>
      <c r="F141" s="445"/>
      <c r="G141" s="445"/>
      <c r="H141" s="445"/>
      <c r="I141" s="445"/>
      <c r="J141" s="445"/>
      <c r="K141" s="445"/>
      <c r="L141" s="445">
        <v>97.3</v>
      </c>
      <c r="M141" s="445"/>
      <c r="N141" s="445"/>
      <c r="O141" s="445"/>
      <c r="P141" s="445"/>
      <c r="Q141" s="620">
        <f t="shared" si="8"/>
        <v>97.3</v>
      </c>
      <c r="R141" s="331" t="str">
        <f t="shared" si="9"/>
        <v>NO</v>
      </c>
      <c r="S141" s="347" t="str">
        <f t="shared" si="7"/>
        <v>Inviable Sanitariamente</v>
      </c>
      <c r="T141" s="142"/>
    </row>
    <row r="142" spans="1:20" s="143" customFormat="1" ht="32.1" customHeight="1">
      <c r="A142" s="452" t="s">
        <v>46</v>
      </c>
      <c r="B142" s="324" t="s">
        <v>1735</v>
      </c>
      <c r="C142" s="318" t="s">
        <v>1736</v>
      </c>
      <c r="D142" s="304">
        <v>495</v>
      </c>
      <c r="E142" s="445"/>
      <c r="F142" s="445">
        <v>53.1</v>
      </c>
      <c r="G142" s="445"/>
      <c r="H142" s="445"/>
      <c r="I142" s="445"/>
      <c r="J142" s="445">
        <v>53.1</v>
      </c>
      <c r="K142" s="445"/>
      <c r="L142" s="445"/>
      <c r="M142" s="445">
        <v>97.3</v>
      </c>
      <c r="N142" s="445"/>
      <c r="O142" s="445"/>
      <c r="P142" s="445"/>
      <c r="Q142" s="620">
        <f t="shared" si="8"/>
        <v>67.833333333333329</v>
      </c>
      <c r="R142" s="331" t="str">
        <f t="shared" si="9"/>
        <v>NO</v>
      </c>
      <c r="S142" s="347" t="str">
        <f t="shared" si="7"/>
        <v>Alto</v>
      </c>
      <c r="T142" s="142"/>
    </row>
    <row r="143" spans="1:20" s="143" customFormat="1" ht="32.1" customHeight="1">
      <c r="A143" s="452" t="s">
        <v>46</v>
      </c>
      <c r="B143" s="324" t="s">
        <v>16</v>
      </c>
      <c r="C143" s="318" t="s">
        <v>1737</v>
      </c>
      <c r="D143" s="304">
        <v>185</v>
      </c>
      <c r="E143" s="445"/>
      <c r="F143" s="445"/>
      <c r="G143" s="445"/>
      <c r="H143" s="445"/>
      <c r="I143" s="445">
        <v>53.1</v>
      </c>
      <c r="J143" s="445"/>
      <c r="K143" s="445"/>
      <c r="L143" s="445"/>
      <c r="M143" s="445"/>
      <c r="N143" s="445"/>
      <c r="O143" s="445"/>
      <c r="P143" s="445"/>
      <c r="Q143" s="620">
        <f t="shared" si="8"/>
        <v>53.1</v>
      </c>
      <c r="R143" s="331" t="str">
        <f t="shared" si="9"/>
        <v>NO</v>
      </c>
      <c r="S143" s="347" t="str">
        <f t="shared" si="7"/>
        <v>Alto</v>
      </c>
      <c r="T143" s="142"/>
    </row>
    <row r="144" spans="1:20" s="143" customFormat="1" ht="32.1" customHeight="1">
      <c r="A144" s="452" t="s">
        <v>46</v>
      </c>
      <c r="B144" s="324" t="s">
        <v>1738</v>
      </c>
      <c r="C144" s="318" t="s">
        <v>1739</v>
      </c>
      <c r="D144" s="304">
        <v>32</v>
      </c>
      <c r="E144" s="445"/>
      <c r="F144" s="445"/>
      <c r="G144" s="445"/>
      <c r="H144" s="445"/>
      <c r="I144" s="445"/>
      <c r="J144" s="445"/>
      <c r="K144" s="445">
        <v>97.3</v>
      </c>
      <c r="L144" s="445"/>
      <c r="M144" s="445"/>
      <c r="N144" s="445"/>
      <c r="O144" s="445"/>
      <c r="P144" s="445"/>
      <c r="Q144" s="620">
        <f t="shared" ref="Q144:Q207" si="13">AVERAGE(E144:P144)</f>
        <v>97.3</v>
      </c>
      <c r="R144" s="331" t="str">
        <f t="shared" ref="R144:R160" si="14">IF(Q144&lt;5,"SI","NO")</f>
        <v>NO</v>
      </c>
      <c r="S144" s="347" t="str">
        <f t="shared" ref="S144:S207" si="15">IF(Q144&lt;5,"Sin Riesgo",IF(Q144 &lt;=14,"Bajo",IF(Q144&lt;=35,"Medio",IF(Q144&lt;=80,"Alto","Inviable Sanitariamente"))))</f>
        <v>Inviable Sanitariamente</v>
      </c>
      <c r="T144" s="142"/>
    </row>
    <row r="145" spans="1:20" s="143" customFormat="1" ht="32.1" customHeight="1">
      <c r="A145" s="452" t="s">
        <v>46</v>
      </c>
      <c r="B145" s="324" t="s">
        <v>1740</v>
      </c>
      <c r="C145" s="318" t="s">
        <v>1741</v>
      </c>
      <c r="D145" s="304">
        <v>310</v>
      </c>
      <c r="E145" s="445"/>
      <c r="F145" s="445"/>
      <c r="G145" s="445">
        <v>53.1</v>
      </c>
      <c r="H145" s="445"/>
      <c r="I145" s="445"/>
      <c r="J145" s="445"/>
      <c r="K145" s="445"/>
      <c r="L145" s="445"/>
      <c r="M145" s="445"/>
      <c r="N145" s="445">
        <v>53.1</v>
      </c>
      <c r="O145" s="445"/>
      <c r="P145" s="445"/>
      <c r="Q145" s="620">
        <f t="shared" si="13"/>
        <v>53.1</v>
      </c>
      <c r="R145" s="331" t="str">
        <f t="shared" si="14"/>
        <v>NO</v>
      </c>
      <c r="S145" s="347" t="str">
        <f t="shared" si="15"/>
        <v>Alto</v>
      </c>
      <c r="T145" s="146"/>
    </row>
    <row r="146" spans="1:20" s="143" customFormat="1" ht="32.1" customHeight="1">
      <c r="A146" s="452" t="s">
        <v>46</v>
      </c>
      <c r="B146" s="324" t="s">
        <v>1742</v>
      </c>
      <c r="C146" s="318" t="s">
        <v>1743</v>
      </c>
      <c r="D146" s="304">
        <v>612</v>
      </c>
      <c r="E146" s="445"/>
      <c r="F146" s="445"/>
      <c r="G146" s="445"/>
      <c r="H146" s="445"/>
      <c r="I146" s="445"/>
      <c r="J146" s="445">
        <v>53.1</v>
      </c>
      <c r="K146" s="445"/>
      <c r="L146" s="445"/>
      <c r="M146" s="445"/>
      <c r="N146" s="445"/>
      <c r="O146" s="445"/>
      <c r="P146" s="445"/>
      <c r="Q146" s="620">
        <f t="shared" si="13"/>
        <v>53.1</v>
      </c>
      <c r="R146" s="331" t="str">
        <f t="shared" si="14"/>
        <v>NO</v>
      </c>
      <c r="S146" s="347" t="str">
        <f t="shared" si="15"/>
        <v>Alto</v>
      </c>
      <c r="T146" s="146"/>
    </row>
    <row r="147" spans="1:20" s="143" customFormat="1" ht="32.1" customHeight="1">
      <c r="A147" s="452" t="s">
        <v>46</v>
      </c>
      <c r="B147" s="324" t="s">
        <v>1744</v>
      </c>
      <c r="C147" s="318" t="s">
        <v>1745</v>
      </c>
      <c r="D147" s="304">
        <v>288</v>
      </c>
      <c r="E147" s="445"/>
      <c r="F147" s="445"/>
      <c r="G147" s="445"/>
      <c r="H147" s="445"/>
      <c r="I147" s="445"/>
      <c r="J147" s="445"/>
      <c r="K147" s="445"/>
      <c r="L147" s="445">
        <v>0</v>
      </c>
      <c r="M147" s="445"/>
      <c r="N147" s="445"/>
      <c r="O147" s="445"/>
      <c r="P147" s="445"/>
      <c r="Q147" s="620">
        <f t="shared" si="13"/>
        <v>0</v>
      </c>
      <c r="R147" s="331" t="str">
        <f t="shared" si="14"/>
        <v>SI</v>
      </c>
      <c r="S147" s="347" t="str">
        <f t="shared" si="15"/>
        <v>Sin Riesgo</v>
      </c>
      <c r="T147" s="146"/>
    </row>
    <row r="148" spans="1:20" s="143" customFormat="1" ht="32.1" customHeight="1">
      <c r="A148" s="452" t="s">
        <v>46</v>
      </c>
      <c r="B148" s="324" t="s">
        <v>1746</v>
      </c>
      <c r="C148" s="318" t="s">
        <v>1747</v>
      </c>
      <c r="D148" s="304">
        <v>308</v>
      </c>
      <c r="E148" s="445"/>
      <c r="F148" s="445"/>
      <c r="G148" s="445"/>
      <c r="H148" s="445">
        <v>53.1</v>
      </c>
      <c r="I148" s="445"/>
      <c r="J148" s="445"/>
      <c r="K148" s="445"/>
      <c r="L148" s="445"/>
      <c r="M148" s="445"/>
      <c r="N148" s="445"/>
      <c r="O148" s="445"/>
      <c r="P148" s="445"/>
      <c r="Q148" s="620">
        <f t="shared" si="13"/>
        <v>53.1</v>
      </c>
      <c r="R148" s="331" t="str">
        <f t="shared" si="14"/>
        <v>NO</v>
      </c>
      <c r="S148" s="347" t="str">
        <f t="shared" si="15"/>
        <v>Alto</v>
      </c>
      <c r="T148" s="146"/>
    </row>
    <row r="149" spans="1:20" s="143" customFormat="1" ht="32.1" customHeight="1">
      <c r="A149" s="452" t="s">
        <v>46</v>
      </c>
      <c r="B149" s="324" t="s">
        <v>1748</v>
      </c>
      <c r="C149" s="318" t="s">
        <v>1749</v>
      </c>
      <c r="D149" s="304">
        <v>210</v>
      </c>
      <c r="E149" s="445"/>
      <c r="F149" s="445"/>
      <c r="G149" s="445"/>
      <c r="H149" s="445"/>
      <c r="I149" s="445"/>
      <c r="J149" s="445"/>
      <c r="K149" s="445"/>
      <c r="L149" s="445"/>
      <c r="M149" s="445">
        <v>97.3</v>
      </c>
      <c r="N149" s="445"/>
      <c r="O149" s="445"/>
      <c r="P149" s="445"/>
      <c r="Q149" s="620">
        <f t="shared" si="13"/>
        <v>97.3</v>
      </c>
      <c r="R149" s="331" t="str">
        <f t="shared" si="14"/>
        <v>NO</v>
      </c>
      <c r="S149" s="347" t="str">
        <f t="shared" si="15"/>
        <v>Inviable Sanitariamente</v>
      </c>
      <c r="T149" s="146"/>
    </row>
    <row r="150" spans="1:20" s="143" customFormat="1" ht="32.1" customHeight="1">
      <c r="A150" s="452" t="s">
        <v>46</v>
      </c>
      <c r="B150" s="324" t="s">
        <v>1750</v>
      </c>
      <c r="C150" s="318" t="s">
        <v>1751</v>
      </c>
      <c r="D150" s="304">
        <v>250</v>
      </c>
      <c r="E150" s="445"/>
      <c r="F150" s="445"/>
      <c r="G150" s="639"/>
      <c r="H150" s="445">
        <v>53.1</v>
      </c>
      <c r="I150" s="445"/>
      <c r="J150" s="445"/>
      <c r="K150" s="445"/>
      <c r="L150" s="445"/>
      <c r="M150" s="445"/>
      <c r="N150" s="445"/>
      <c r="O150" s="445"/>
      <c r="P150" s="445"/>
      <c r="Q150" s="620">
        <f t="shared" si="13"/>
        <v>53.1</v>
      </c>
      <c r="R150" s="331" t="str">
        <f t="shared" si="14"/>
        <v>NO</v>
      </c>
      <c r="S150" s="347" t="str">
        <f t="shared" si="15"/>
        <v>Alto</v>
      </c>
      <c r="T150" s="146"/>
    </row>
    <row r="151" spans="1:20" s="143" customFormat="1" ht="32.1" customHeight="1">
      <c r="A151" s="452" t="s">
        <v>46</v>
      </c>
      <c r="B151" s="324" t="s">
        <v>1752</v>
      </c>
      <c r="C151" s="318" t="s">
        <v>1753</v>
      </c>
      <c r="D151" s="304">
        <v>2332</v>
      </c>
      <c r="E151" s="445"/>
      <c r="F151" s="445">
        <v>0</v>
      </c>
      <c r="G151" s="445"/>
      <c r="H151" s="445">
        <v>0</v>
      </c>
      <c r="I151" s="445"/>
      <c r="J151" s="445"/>
      <c r="K151" s="445">
        <v>0</v>
      </c>
      <c r="L151" s="445">
        <v>0</v>
      </c>
      <c r="M151" s="445"/>
      <c r="N151" s="445"/>
      <c r="O151" s="445"/>
      <c r="P151" s="445"/>
      <c r="Q151" s="620">
        <f t="shared" si="13"/>
        <v>0</v>
      </c>
      <c r="R151" s="331" t="str">
        <f t="shared" si="14"/>
        <v>SI</v>
      </c>
      <c r="S151" s="347" t="str">
        <f t="shared" si="15"/>
        <v>Sin Riesgo</v>
      </c>
      <c r="T151" s="146"/>
    </row>
    <row r="152" spans="1:20" s="143" customFormat="1" ht="32.1" customHeight="1">
      <c r="A152" s="452" t="s">
        <v>46</v>
      </c>
      <c r="B152" s="324" t="s">
        <v>1754</v>
      </c>
      <c r="C152" s="318" t="s">
        <v>1755</v>
      </c>
      <c r="D152" s="304">
        <v>125</v>
      </c>
      <c r="E152" s="445"/>
      <c r="F152" s="445"/>
      <c r="G152" s="445"/>
      <c r="H152" s="445"/>
      <c r="I152" s="445"/>
      <c r="J152" s="445"/>
      <c r="K152" s="445"/>
      <c r="L152" s="445">
        <v>53.1</v>
      </c>
      <c r="M152" s="445"/>
      <c r="N152" s="445"/>
      <c r="O152" s="445"/>
      <c r="P152" s="445"/>
      <c r="Q152" s="620">
        <f t="shared" si="13"/>
        <v>53.1</v>
      </c>
      <c r="R152" s="331" t="str">
        <f t="shared" si="14"/>
        <v>NO</v>
      </c>
      <c r="S152" s="347" t="str">
        <f t="shared" si="15"/>
        <v>Alto</v>
      </c>
      <c r="T152" s="146"/>
    </row>
    <row r="153" spans="1:20" s="143" customFormat="1" ht="32.1" customHeight="1">
      <c r="A153" s="452" t="s">
        <v>46</v>
      </c>
      <c r="B153" s="324" t="s">
        <v>1756</v>
      </c>
      <c r="C153" s="318" t="s">
        <v>1757</v>
      </c>
      <c r="D153" s="304">
        <v>152</v>
      </c>
      <c r="E153" s="445"/>
      <c r="F153" s="445"/>
      <c r="G153" s="445"/>
      <c r="H153" s="445"/>
      <c r="I153" s="445"/>
      <c r="J153" s="445">
        <v>53.1</v>
      </c>
      <c r="K153" s="445"/>
      <c r="L153" s="445"/>
      <c r="M153" s="445"/>
      <c r="N153" s="445"/>
      <c r="O153" s="445"/>
      <c r="P153" s="445"/>
      <c r="Q153" s="620">
        <f t="shared" si="13"/>
        <v>53.1</v>
      </c>
      <c r="R153" s="331" t="str">
        <f t="shared" si="14"/>
        <v>NO</v>
      </c>
      <c r="S153" s="347" t="str">
        <f t="shared" si="15"/>
        <v>Alto</v>
      </c>
      <c r="T153" s="146"/>
    </row>
    <row r="154" spans="1:20" s="143" customFormat="1" ht="32.1" customHeight="1">
      <c r="A154" s="452" t="s">
        <v>46</v>
      </c>
      <c r="B154" s="324" t="s">
        <v>1758</v>
      </c>
      <c r="C154" s="318" t="s">
        <v>1759</v>
      </c>
      <c r="D154" s="304">
        <v>195</v>
      </c>
      <c r="E154" s="445"/>
      <c r="F154" s="445">
        <v>53.1</v>
      </c>
      <c r="G154" s="445"/>
      <c r="H154" s="445"/>
      <c r="I154" s="445"/>
      <c r="J154" s="445"/>
      <c r="K154" s="445"/>
      <c r="L154" s="445"/>
      <c r="M154" s="445"/>
      <c r="N154" s="445"/>
      <c r="O154" s="445"/>
      <c r="P154" s="445"/>
      <c r="Q154" s="620">
        <f t="shared" si="13"/>
        <v>53.1</v>
      </c>
      <c r="R154" s="331" t="str">
        <f t="shared" si="14"/>
        <v>NO</v>
      </c>
      <c r="S154" s="347" t="str">
        <f t="shared" si="15"/>
        <v>Alto</v>
      </c>
      <c r="T154" s="146"/>
    </row>
    <row r="155" spans="1:20" s="143" customFormat="1" ht="32.1" customHeight="1">
      <c r="A155" s="452" t="s">
        <v>46</v>
      </c>
      <c r="B155" s="324" t="s">
        <v>1760</v>
      </c>
      <c r="C155" s="318" t="s">
        <v>1761</v>
      </c>
      <c r="D155" s="304">
        <v>245</v>
      </c>
      <c r="E155" s="445"/>
      <c r="F155" s="445"/>
      <c r="G155" s="445"/>
      <c r="H155" s="445"/>
      <c r="I155" s="445">
        <v>0</v>
      </c>
      <c r="J155" s="445"/>
      <c r="K155" s="445"/>
      <c r="L155" s="445">
        <v>0</v>
      </c>
      <c r="M155" s="445"/>
      <c r="N155" s="445"/>
      <c r="O155" s="445"/>
      <c r="P155" s="445"/>
      <c r="Q155" s="620">
        <f t="shared" si="13"/>
        <v>0</v>
      </c>
      <c r="R155" s="331" t="str">
        <f t="shared" si="14"/>
        <v>SI</v>
      </c>
      <c r="S155" s="347" t="str">
        <f t="shared" si="15"/>
        <v>Sin Riesgo</v>
      </c>
      <c r="T155" s="146"/>
    </row>
    <row r="156" spans="1:20" s="143" customFormat="1" ht="32.1" customHeight="1">
      <c r="A156" s="452" t="s">
        <v>46</v>
      </c>
      <c r="B156" s="324" t="s">
        <v>1762</v>
      </c>
      <c r="C156" s="318" t="s">
        <v>1763</v>
      </c>
      <c r="D156" s="304">
        <v>242</v>
      </c>
      <c r="E156" s="445"/>
      <c r="F156" s="445"/>
      <c r="G156" s="445"/>
      <c r="H156" s="445"/>
      <c r="I156" s="445"/>
      <c r="J156" s="445">
        <v>53.1</v>
      </c>
      <c r="K156" s="445"/>
      <c r="L156" s="445"/>
      <c r="M156" s="445"/>
      <c r="N156" s="445"/>
      <c r="O156" s="445"/>
      <c r="P156" s="445"/>
      <c r="Q156" s="620">
        <f t="shared" si="13"/>
        <v>53.1</v>
      </c>
      <c r="R156" s="331" t="str">
        <f t="shared" si="14"/>
        <v>NO</v>
      </c>
      <c r="S156" s="347" t="str">
        <f t="shared" si="15"/>
        <v>Alto</v>
      </c>
      <c r="T156" s="146"/>
    </row>
    <row r="157" spans="1:20" s="143" customFormat="1" ht="32.1" customHeight="1">
      <c r="A157" s="452" t="s">
        <v>46</v>
      </c>
      <c r="B157" s="324" t="s">
        <v>1764</v>
      </c>
      <c r="C157" s="318" t="s">
        <v>1765</v>
      </c>
      <c r="D157" s="304">
        <v>340</v>
      </c>
      <c r="E157" s="445"/>
      <c r="F157" s="445"/>
      <c r="G157" s="445"/>
      <c r="H157" s="445">
        <v>53.1</v>
      </c>
      <c r="I157" s="445"/>
      <c r="J157" s="445"/>
      <c r="K157" s="445"/>
      <c r="L157" s="445"/>
      <c r="M157" s="445"/>
      <c r="N157" s="445"/>
      <c r="O157" s="445"/>
      <c r="P157" s="445"/>
      <c r="Q157" s="620">
        <f t="shared" si="13"/>
        <v>53.1</v>
      </c>
      <c r="R157" s="331" t="str">
        <f t="shared" si="14"/>
        <v>NO</v>
      </c>
      <c r="S157" s="347" t="str">
        <f t="shared" si="15"/>
        <v>Alto</v>
      </c>
      <c r="T157" s="146"/>
    </row>
    <row r="158" spans="1:20" s="143" customFormat="1" ht="32.1" customHeight="1">
      <c r="A158" s="452" t="s">
        <v>46</v>
      </c>
      <c r="B158" s="324" t="s">
        <v>1766</v>
      </c>
      <c r="C158" s="318" t="s">
        <v>1767</v>
      </c>
      <c r="D158" s="304">
        <v>240</v>
      </c>
      <c r="E158" s="445"/>
      <c r="F158" s="445"/>
      <c r="G158" s="445"/>
      <c r="H158" s="445"/>
      <c r="I158" s="445">
        <v>53.1</v>
      </c>
      <c r="J158" s="445"/>
      <c r="K158" s="445"/>
      <c r="L158" s="445"/>
      <c r="M158" s="445"/>
      <c r="N158" s="445"/>
      <c r="O158" s="445"/>
      <c r="P158" s="445"/>
      <c r="Q158" s="620">
        <f t="shared" si="13"/>
        <v>53.1</v>
      </c>
      <c r="R158" s="331" t="str">
        <f t="shared" si="14"/>
        <v>NO</v>
      </c>
      <c r="S158" s="347" t="str">
        <f t="shared" si="15"/>
        <v>Alto</v>
      </c>
      <c r="T158" s="146"/>
    </row>
    <row r="159" spans="1:20" s="143" customFormat="1" ht="32.1" customHeight="1">
      <c r="A159" s="452" t="s">
        <v>46</v>
      </c>
      <c r="B159" s="324" t="s">
        <v>1768</v>
      </c>
      <c r="C159" s="318" t="s">
        <v>1769</v>
      </c>
      <c r="D159" s="304">
        <v>196</v>
      </c>
      <c r="E159" s="445"/>
      <c r="F159" s="445">
        <v>53.1</v>
      </c>
      <c r="G159" s="445"/>
      <c r="H159" s="445"/>
      <c r="I159" s="445"/>
      <c r="J159" s="445"/>
      <c r="K159" s="445"/>
      <c r="L159" s="445"/>
      <c r="M159" s="445"/>
      <c r="N159" s="445"/>
      <c r="O159" s="445">
        <v>53.1</v>
      </c>
      <c r="P159" s="445"/>
      <c r="Q159" s="620">
        <f t="shared" si="13"/>
        <v>53.1</v>
      </c>
      <c r="R159" s="331" t="str">
        <f t="shared" si="14"/>
        <v>NO</v>
      </c>
      <c r="S159" s="347" t="str">
        <f t="shared" si="15"/>
        <v>Alto</v>
      </c>
      <c r="T159" s="146"/>
    </row>
    <row r="160" spans="1:20" s="143" customFormat="1" ht="32.1" customHeight="1">
      <c r="A160" s="452" t="s">
        <v>46</v>
      </c>
      <c r="B160" s="324" t="s">
        <v>10</v>
      </c>
      <c r="C160" s="318" t="s">
        <v>1770</v>
      </c>
      <c r="D160" s="304">
        <v>480</v>
      </c>
      <c r="E160" s="445"/>
      <c r="F160" s="445">
        <v>53.1</v>
      </c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620">
        <f t="shared" si="13"/>
        <v>53.1</v>
      </c>
      <c r="R160" s="331" t="str">
        <f t="shared" si="14"/>
        <v>NO</v>
      </c>
      <c r="S160" s="347" t="str">
        <f t="shared" si="15"/>
        <v>Alto</v>
      </c>
      <c r="T160" s="146"/>
    </row>
    <row r="161" spans="1:20" s="97" customFormat="1" ht="32.1" customHeight="1">
      <c r="A161" s="452" t="s">
        <v>161</v>
      </c>
      <c r="B161" s="344" t="s">
        <v>1862</v>
      </c>
      <c r="C161" s="349" t="s">
        <v>1863</v>
      </c>
      <c r="D161" s="346">
        <v>51</v>
      </c>
      <c r="E161" s="445"/>
      <c r="F161" s="445"/>
      <c r="G161" s="445"/>
      <c r="H161" s="445"/>
      <c r="I161" s="445">
        <v>81.459999999999994</v>
      </c>
      <c r="J161" s="445"/>
      <c r="K161" s="445"/>
      <c r="L161" s="445"/>
      <c r="M161" s="445"/>
      <c r="N161" s="445"/>
      <c r="O161" s="445"/>
      <c r="P161" s="445"/>
      <c r="Q161" s="620">
        <f t="shared" si="13"/>
        <v>81.459999999999994</v>
      </c>
      <c r="R161" s="331" t="s">
        <v>1017</v>
      </c>
      <c r="S161" s="347" t="str">
        <f t="shared" si="15"/>
        <v>Inviable Sanitariamente</v>
      </c>
      <c r="T161" s="147"/>
    </row>
    <row r="162" spans="1:20" s="97" customFormat="1" ht="32.1" customHeight="1">
      <c r="A162" s="452" t="s">
        <v>161</v>
      </c>
      <c r="B162" s="344" t="s">
        <v>1864</v>
      </c>
      <c r="C162" s="349" t="s">
        <v>1865</v>
      </c>
      <c r="D162" s="346">
        <v>146</v>
      </c>
      <c r="E162" s="445"/>
      <c r="F162" s="445"/>
      <c r="G162" s="445">
        <v>81.459999999999994</v>
      </c>
      <c r="H162" s="445"/>
      <c r="I162" s="445"/>
      <c r="J162" s="445"/>
      <c r="K162" s="445"/>
      <c r="L162" s="445"/>
      <c r="M162" s="445"/>
      <c r="N162" s="445"/>
      <c r="O162" s="445"/>
      <c r="P162" s="445"/>
      <c r="Q162" s="620">
        <f t="shared" si="13"/>
        <v>81.459999999999994</v>
      </c>
      <c r="R162" s="331" t="s">
        <v>1017</v>
      </c>
      <c r="S162" s="347" t="str">
        <f t="shared" si="15"/>
        <v>Inviable Sanitariamente</v>
      </c>
      <c r="T162" s="147"/>
    </row>
    <row r="163" spans="1:20" s="97" customFormat="1" ht="32.1" customHeight="1">
      <c r="A163" s="452" t="s">
        <v>161</v>
      </c>
      <c r="B163" s="344" t="s">
        <v>1866</v>
      </c>
      <c r="C163" s="349" t="s">
        <v>1867</v>
      </c>
      <c r="D163" s="346">
        <v>11</v>
      </c>
      <c r="E163" s="445"/>
      <c r="F163" s="445"/>
      <c r="G163" s="445"/>
      <c r="H163" s="445"/>
      <c r="I163" s="445"/>
      <c r="J163" s="445"/>
      <c r="K163" s="445"/>
      <c r="L163" s="445"/>
      <c r="M163" s="445"/>
      <c r="N163" s="445"/>
      <c r="O163" s="445">
        <v>81.459999999999994</v>
      </c>
      <c r="P163" s="445"/>
      <c r="Q163" s="620">
        <f t="shared" si="13"/>
        <v>81.459999999999994</v>
      </c>
      <c r="R163" s="331" t="s">
        <v>1017</v>
      </c>
      <c r="S163" s="347" t="str">
        <f t="shared" si="15"/>
        <v>Inviable Sanitariamente</v>
      </c>
      <c r="T163" s="147"/>
    </row>
    <row r="164" spans="1:20" s="97" customFormat="1" ht="32.1" customHeight="1">
      <c r="A164" s="452" t="s">
        <v>161</v>
      </c>
      <c r="B164" s="344" t="s">
        <v>1868</v>
      </c>
      <c r="C164" s="349" t="s">
        <v>1869</v>
      </c>
      <c r="D164" s="346">
        <v>130</v>
      </c>
      <c r="E164" s="445"/>
      <c r="F164" s="445"/>
      <c r="G164" s="445">
        <v>81.459999999999994</v>
      </c>
      <c r="H164" s="445"/>
      <c r="I164" s="445"/>
      <c r="J164" s="445"/>
      <c r="K164" s="445"/>
      <c r="L164" s="445"/>
      <c r="M164" s="445"/>
      <c r="N164" s="445"/>
      <c r="O164" s="445"/>
      <c r="P164" s="445"/>
      <c r="Q164" s="620">
        <f t="shared" si="13"/>
        <v>81.459999999999994</v>
      </c>
      <c r="R164" s="331" t="s">
        <v>1017</v>
      </c>
      <c r="S164" s="347" t="str">
        <f t="shared" si="15"/>
        <v>Inviable Sanitariamente</v>
      </c>
      <c r="T164" s="147"/>
    </row>
    <row r="165" spans="1:20" s="97" customFormat="1" ht="32.1" customHeight="1">
      <c r="A165" s="452" t="s">
        <v>161</v>
      </c>
      <c r="B165" s="344" t="s">
        <v>1870</v>
      </c>
      <c r="C165" s="349" t="s">
        <v>1871</v>
      </c>
      <c r="D165" s="346">
        <v>17</v>
      </c>
      <c r="E165" s="445"/>
      <c r="F165" s="445"/>
      <c r="G165" s="445"/>
      <c r="H165" s="445"/>
      <c r="I165" s="445"/>
      <c r="J165" s="445">
        <v>81.459999999999994</v>
      </c>
      <c r="K165" s="445"/>
      <c r="L165" s="445"/>
      <c r="M165" s="445"/>
      <c r="N165" s="445"/>
      <c r="O165" s="445"/>
      <c r="P165" s="445"/>
      <c r="Q165" s="620">
        <f t="shared" si="13"/>
        <v>81.459999999999994</v>
      </c>
      <c r="R165" s="331" t="s">
        <v>1017</v>
      </c>
      <c r="S165" s="347" t="str">
        <f t="shared" si="15"/>
        <v>Inviable Sanitariamente</v>
      </c>
      <c r="T165" s="147"/>
    </row>
    <row r="166" spans="1:20" s="97" customFormat="1" ht="32.1" customHeight="1">
      <c r="A166" s="452" t="s">
        <v>161</v>
      </c>
      <c r="B166" s="344" t="s">
        <v>1872</v>
      </c>
      <c r="C166" s="349" t="s">
        <v>1873</v>
      </c>
      <c r="D166" s="346">
        <v>16</v>
      </c>
      <c r="E166" s="445"/>
      <c r="F166" s="445"/>
      <c r="G166" s="445"/>
      <c r="H166" s="445"/>
      <c r="I166" s="445"/>
      <c r="J166" s="445">
        <v>81.459999999999994</v>
      </c>
      <c r="K166" s="445"/>
      <c r="L166" s="445"/>
      <c r="M166" s="445"/>
      <c r="N166" s="445"/>
      <c r="O166" s="445"/>
      <c r="P166" s="445"/>
      <c r="Q166" s="620">
        <f t="shared" si="13"/>
        <v>81.459999999999994</v>
      </c>
      <c r="R166" s="331" t="s">
        <v>1017</v>
      </c>
      <c r="S166" s="347" t="str">
        <f t="shared" si="15"/>
        <v>Inviable Sanitariamente</v>
      </c>
      <c r="T166" s="147"/>
    </row>
    <row r="167" spans="1:20" s="97" customFormat="1" ht="32.1" customHeight="1">
      <c r="A167" s="595" t="s">
        <v>161</v>
      </c>
      <c r="B167" s="595" t="s">
        <v>652</v>
      </c>
      <c r="C167" s="598" t="s">
        <v>1874</v>
      </c>
      <c r="D167" s="346">
        <v>32</v>
      </c>
      <c r="E167" s="445"/>
      <c r="F167" s="445"/>
      <c r="G167" s="445"/>
      <c r="H167" s="445"/>
      <c r="I167" s="445"/>
      <c r="J167" s="445"/>
      <c r="K167" s="445"/>
      <c r="L167" s="445"/>
      <c r="M167" s="445"/>
      <c r="N167" s="445"/>
      <c r="O167" s="445"/>
      <c r="P167" s="445"/>
      <c r="Q167" s="620"/>
      <c r="R167" s="331"/>
      <c r="S167" s="347"/>
      <c r="T167" s="147"/>
    </row>
    <row r="168" spans="1:20" s="97" customFormat="1" ht="32.1" customHeight="1">
      <c r="A168" s="597" t="s">
        <v>161</v>
      </c>
      <c r="B168" s="595" t="s">
        <v>1875</v>
      </c>
      <c r="C168" s="598" t="s">
        <v>1876</v>
      </c>
      <c r="D168" s="399">
        <v>48</v>
      </c>
      <c r="E168" s="445"/>
      <c r="F168" s="445"/>
      <c r="G168" s="445"/>
      <c r="H168" s="445"/>
      <c r="I168" s="445"/>
      <c r="J168" s="445"/>
      <c r="K168" s="445"/>
      <c r="L168" s="445"/>
      <c r="M168" s="445"/>
      <c r="N168" s="445"/>
      <c r="O168" s="445">
        <v>81.459999999999994</v>
      </c>
      <c r="P168" s="445"/>
      <c r="Q168" s="620">
        <f t="shared" si="13"/>
        <v>81.459999999999994</v>
      </c>
      <c r="R168" s="331" t="s">
        <v>1017</v>
      </c>
      <c r="S168" s="347" t="str">
        <f t="shared" si="15"/>
        <v>Inviable Sanitariamente</v>
      </c>
      <c r="T168" s="147"/>
    </row>
    <row r="169" spans="1:20" s="97" customFormat="1" ht="32.1" customHeight="1">
      <c r="A169" s="597" t="s">
        <v>161</v>
      </c>
      <c r="B169" s="595" t="s">
        <v>47</v>
      </c>
      <c r="C169" s="598" t="s">
        <v>1877</v>
      </c>
      <c r="D169" s="346">
        <v>15</v>
      </c>
      <c r="E169" s="445"/>
      <c r="F169" s="445"/>
      <c r="G169" s="445"/>
      <c r="H169" s="445"/>
      <c r="I169" s="445"/>
      <c r="J169" s="445"/>
      <c r="K169" s="445"/>
      <c r="L169" s="445"/>
      <c r="M169" s="445"/>
      <c r="N169" s="445"/>
      <c r="O169" s="445">
        <v>81.459999999999994</v>
      </c>
      <c r="P169" s="445"/>
      <c r="Q169" s="620">
        <f t="shared" si="13"/>
        <v>81.459999999999994</v>
      </c>
      <c r="R169" s="331" t="s">
        <v>1017</v>
      </c>
      <c r="S169" s="347" t="str">
        <f t="shared" si="15"/>
        <v>Inviable Sanitariamente</v>
      </c>
      <c r="T169" s="147"/>
    </row>
    <row r="170" spans="1:20" s="97" customFormat="1" ht="32.1" customHeight="1">
      <c r="A170" s="595" t="s">
        <v>161</v>
      </c>
      <c r="B170" s="595" t="s">
        <v>1878</v>
      </c>
      <c r="C170" s="598" t="s">
        <v>1879</v>
      </c>
      <c r="D170" s="346">
        <v>18</v>
      </c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620"/>
      <c r="R170" s="331"/>
      <c r="S170" s="347"/>
      <c r="T170" s="147"/>
    </row>
    <row r="171" spans="1:20" s="97" customFormat="1" ht="32.1" customHeight="1">
      <c r="A171" s="452" t="s">
        <v>161</v>
      </c>
      <c r="B171" s="344" t="s">
        <v>1880</v>
      </c>
      <c r="C171" s="349" t="s">
        <v>1881</v>
      </c>
      <c r="D171" s="399">
        <v>18</v>
      </c>
      <c r="E171" s="445"/>
      <c r="F171" s="445"/>
      <c r="G171" s="445"/>
      <c r="H171" s="445"/>
      <c r="I171" s="445"/>
      <c r="J171" s="445"/>
      <c r="K171" s="445"/>
      <c r="L171" s="445"/>
      <c r="M171" s="445"/>
      <c r="N171" s="445"/>
      <c r="O171" s="445">
        <v>81.459999999999994</v>
      </c>
      <c r="P171" s="445"/>
      <c r="Q171" s="620">
        <f t="shared" si="13"/>
        <v>81.459999999999994</v>
      </c>
      <c r="R171" s="331" t="s">
        <v>1017</v>
      </c>
      <c r="S171" s="347" t="str">
        <f t="shared" si="15"/>
        <v>Inviable Sanitariamente</v>
      </c>
      <c r="T171" s="147"/>
    </row>
    <row r="172" spans="1:20" s="97" customFormat="1" ht="32.1" customHeight="1">
      <c r="A172" s="452" t="s">
        <v>161</v>
      </c>
      <c r="B172" s="344" t="s">
        <v>48</v>
      </c>
      <c r="C172" s="349" t="s">
        <v>1882</v>
      </c>
      <c r="D172" s="346">
        <v>18</v>
      </c>
      <c r="E172" s="445"/>
      <c r="F172" s="445"/>
      <c r="G172" s="445"/>
      <c r="H172" s="445"/>
      <c r="I172" s="445"/>
      <c r="J172" s="445"/>
      <c r="K172" s="445"/>
      <c r="L172" s="445"/>
      <c r="M172" s="445"/>
      <c r="N172" s="445"/>
      <c r="O172" s="445">
        <v>81.459999999999994</v>
      </c>
      <c r="P172" s="445"/>
      <c r="Q172" s="620">
        <f t="shared" si="13"/>
        <v>81.459999999999994</v>
      </c>
      <c r="R172" s="331" t="s">
        <v>1017</v>
      </c>
      <c r="S172" s="347" t="str">
        <f t="shared" si="15"/>
        <v>Inviable Sanitariamente</v>
      </c>
      <c r="T172" s="147"/>
    </row>
    <row r="173" spans="1:20" ht="32.1" customHeight="1">
      <c r="A173" s="452" t="s">
        <v>161</v>
      </c>
      <c r="B173" s="340" t="s">
        <v>1883</v>
      </c>
      <c r="C173" s="350" t="s">
        <v>1884</v>
      </c>
      <c r="D173" s="346">
        <v>20</v>
      </c>
      <c r="E173" s="445"/>
      <c r="F173" s="445"/>
      <c r="G173" s="445"/>
      <c r="H173" s="445"/>
      <c r="I173" s="445"/>
      <c r="J173" s="445"/>
      <c r="K173" s="445"/>
      <c r="L173" s="445"/>
      <c r="M173" s="445"/>
      <c r="N173" s="445"/>
      <c r="O173" s="445"/>
      <c r="P173" s="445">
        <v>81.459999999999994</v>
      </c>
      <c r="Q173" s="620">
        <f t="shared" si="13"/>
        <v>81.459999999999994</v>
      </c>
      <c r="R173" s="331" t="s">
        <v>1017</v>
      </c>
      <c r="S173" s="347" t="str">
        <f t="shared" si="15"/>
        <v>Inviable Sanitariamente</v>
      </c>
      <c r="T173" s="16"/>
    </row>
    <row r="174" spans="1:20" ht="32.1" customHeight="1">
      <c r="A174" s="452" t="s">
        <v>161</v>
      </c>
      <c r="B174" s="340" t="s">
        <v>1260</v>
      </c>
      <c r="C174" s="350" t="s">
        <v>1885</v>
      </c>
      <c r="D174" s="399">
        <v>15</v>
      </c>
      <c r="E174" s="445"/>
      <c r="F174" s="445"/>
      <c r="G174" s="445"/>
      <c r="H174" s="445"/>
      <c r="I174" s="445">
        <v>81.459999999999994</v>
      </c>
      <c r="J174" s="445"/>
      <c r="K174" s="445"/>
      <c r="L174" s="445"/>
      <c r="M174" s="445"/>
      <c r="N174" s="445"/>
      <c r="O174" s="445"/>
      <c r="P174" s="445"/>
      <c r="Q174" s="620">
        <f t="shared" si="13"/>
        <v>81.459999999999994</v>
      </c>
      <c r="R174" s="331" t="s">
        <v>1017</v>
      </c>
      <c r="S174" s="347" t="str">
        <f t="shared" si="15"/>
        <v>Inviable Sanitariamente</v>
      </c>
      <c r="T174" s="16"/>
    </row>
    <row r="175" spans="1:20" ht="32.1" customHeight="1">
      <c r="A175" s="452" t="s">
        <v>161</v>
      </c>
      <c r="B175" s="340" t="s">
        <v>1886</v>
      </c>
      <c r="C175" s="350" t="s">
        <v>1887</v>
      </c>
      <c r="D175" s="346">
        <v>15</v>
      </c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445">
        <v>81.459999999999994</v>
      </c>
      <c r="P175" s="445"/>
      <c r="Q175" s="620">
        <f t="shared" si="13"/>
        <v>81.459999999999994</v>
      </c>
      <c r="R175" s="331" t="str">
        <f t="shared" ref="R175:R239" si="16">IF(Q175&lt;5,"SI","NO")</f>
        <v>NO</v>
      </c>
      <c r="S175" s="347" t="str">
        <f t="shared" si="15"/>
        <v>Inviable Sanitariamente</v>
      </c>
      <c r="T175" s="16"/>
    </row>
    <row r="176" spans="1:20" ht="32.1" customHeight="1">
      <c r="A176" s="452" t="s">
        <v>161</v>
      </c>
      <c r="B176" s="340" t="s">
        <v>1888</v>
      </c>
      <c r="C176" s="350" t="s">
        <v>1889</v>
      </c>
      <c r="D176" s="346">
        <v>15</v>
      </c>
      <c r="E176" s="445"/>
      <c r="F176" s="445"/>
      <c r="G176" s="445"/>
      <c r="H176" s="445"/>
      <c r="I176" s="445"/>
      <c r="J176" s="445"/>
      <c r="K176" s="445"/>
      <c r="L176" s="445"/>
      <c r="M176" s="445"/>
      <c r="N176" s="445">
        <v>81.459999999999994</v>
      </c>
      <c r="O176" s="445"/>
      <c r="P176" s="445"/>
      <c r="Q176" s="620">
        <f t="shared" si="13"/>
        <v>81.459999999999994</v>
      </c>
      <c r="R176" s="331" t="str">
        <f t="shared" si="16"/>
        <v>NO</v>
      </c>
      <c r="S176" s="347" t="str">
        <f t="shared" si="15"/>
        <v>Inviable Sanitariamente</v>
      </c>
      <c r="T176" s="16"/>
    </row>
    <row r="177" spans="1:20" ht="32.1" customHeight="1">
      <c r="A177" s="452" t="s">
        <v>162</v>
      </c>
      <c r="B177" s="344" t="s">
        <v>1926</v>
      </c>
      <c r="C177" s="349" t="s">
        <v>1927</v>
      </c>
      <c r="D177" s="462">
        <v>70</v>
      </c>
      <c r="E177" s="638"/>
      <c r="F177" s="638"/>
      <c r="G177" s="638"/>
      <c r="H177" s="638">
        <v>0</v>
      </c>
      <c r="I177" s="638"/>
      <c r="J177" s="638"/>
      <c r="K177" s="638"/>
      <c r="L177" s="638"/>
      <c r="M177" s="638"/>
      <c r="N177" s="638"/>
      <c r="O177" s="638"/>
      <c r="P177" s="638"/>
      <c r="Q177" s="620">
        <f t="shared" si="13"/>
        <v>0</v>
      </c>
      <c r="R177" s="331" t="str">
        <f t="shared" si="16"/>
        <v>SI</v>
      </c>
      <c r="S177" s="347" t="str">
        <f t="shared" si="15"/>
        <v>Sin Riesgo</v>
      </c>
      <c r="T177" s="16"/>
    </row>
    <row r="178" spans="1:20" ht="32.1" customHeight="1">
      <c r="A178" s="452" t="s">
        <v>162</v>
      </c>
      <c r="B178" s="344" t="s">
        <v>3</v>
      </c>
      <c r="C178" s="349" t="s">
        <v>1928</v>
      </c>
      <c r="D178" s="462">
        <v>15</v>
      </c>
      <c r="E178" s="638"/>
      <c r="F178" s="638"/>
      <c r="G178" s="638"/>
      <c r="H178" s="638">
        <v>0</v>
      </c>
      <c r="I178" s="638"/>
      <c r="J178" s="638"/>
      <c r="K178" s="638"/>
      <c r="L178" s="638"/>
      <c r="M178" s="638"/>
      <c r="N178" s="638"/>
      <c r="O178" s="638"/>
      <c r="P178" s="638"/>
      <c r="Q178" s="620">
        <f t="shared" si="13"/>
        <v>0</v>
      </c>
      <c r="R178" s="331" t="str">
        <f t="shared" si="16"/>
        <v>SI</v>
      </c>
      <c r="S178" s="347" t="str">
        <f t="shared" si="15"/>
        <v>Sin Riesgo</v>
      </c>
      <c r="T178" s="16"/>
    </row>
    <row r="179" spans="1:20" ht="32.1" customHeight="1">
      <c r="A179" s="452" t="s">
        <v>162</v>
      </c>
      <c r="B179" s="344" t="s">
        <v>1929</v>
      </c>
      <c r="C179" s="349" t="s">
        <v>1930</v>
      </c>
      <c r="D179" s="304">
        <v>116</v>
      </c>
      <c r="E179" s="638"/>
      <c r="F179" s="638"/>
      <c r="G179" s="638"/>
      <c r="H179" s="638">
        <v>0</v>
      </c>
      <c r="I179" s="638"/>
      <c r="J179" s="638"/>
      <c r="K179" s="638"/>
      <c r="L179" s="638"/>
      <c r="M179" s="638"/>
      <c r="N179" s="638"/>
      <c r="O179" s="638"/>
      <c r="P179" s="638"/>
      <c r="Q179" s="620">
        <f t="shared" si="13"/>
        <v>0</v>
      </c>
      <c r="R179" s="331" t="str">
        <f t="shared" si="16"/>
        <v>SI</v>
      </c>
      <c r="S179" s="347" t="str">
        <f t="shared" si="15"/>
        <v>Sin Riesgo</v>
      </c>
      <c r="T179" s="16"/>
    </row>
    <row r="180" spans="1:20" ht="32.1" customHeight="1">
      <c r="A180" s="595" t="s">
        <v>162</v>
      </c>
      <c r="B180" s="595" t="s">
        <v>592</v>
      </c>
      <c r="C180" s="598" t="s">
        <v>1931</v>
      </c>
      <c r="D180" s="304">
        <v>30</v>
      </c>
      <c r="E180" s="368"/>
      <c r="F180" s="368"/>
      <c r="G180" s="368"/>
      <c r="H180" s="368"/>
      <c r="I180" s="368"/>
      <c r="J180" s="368">
        <v>53.1</v>
      </c>
      <c r="K180" s="368"/>
      <c r="L180" s="368"/>
      <c r="M180" s="368"/>
      <c r="N180" s="368"/>
      <c r="O180" s="368"/>
      <c r="P180" s="368"/>
      <c r="Q180" s="620">
        <f t="shared" si="13"/>
        <v>53.1</v>
      </c>
      <c r="R180" s="331" t="str">
        <f t="shared" si="16"/>
        <v>NO</v>
      </c>
      <c r="S180" s="347" t="str">
        <f t="shared" si="15"/>
        <v>Alto</v>
      </c>
      <c r="T180" s="16"/>
    </row>
    <row r="181" spans="1:20" ht="39" customHeight="1">
      <c r="A181" s="452" t="s">
        <v>162</v>
      </c>
      <c r="B181" s="344" t="s">
        <v>1932</v>
      </c>
      <c r="C181" s="349" t="s">
        <v>1933</v>
      </c>
      <c r="D181" s="462">
        <v>223</v>
      </c>
      <c r="E181" s="638"/>
      <c r="F181" s="638">
        <v>0</v>
      </c>
      <c r="G181" s="638"/>
      <c r="H181" s="638">
        <v>0</v>
      </c>
      <c r="I181" s="638"/>
      <c r="J181" s="638">
        <v>0</v>
      </c>
      <c r="K181" s="638"/>
      <c r="L181" s="638"/>
      <c r="M181" s="638"/>
      <c r="N181" s="638"/>
      <c r="O181" s="638"/>
      <c r="P181" s="638">
        <v>0</v>
      </c>
      <c r="Q181" s="620">
        <f t="shared" si="13"/>
        <v>0</v>
      </c>
      <c r="R181" s="331" t="str">
        <f t="shared" si="16"/>
        <v>SI</v>
      </c>
      <c r="S181" s="347" t="str">
        <f t="shared" si="15"/>
        <v>Sin Riesgo</v>
      </c>
      <c r="T181" s="16"/>
    </row>
    <row r="182" spans="1:20" ht="42.75" customHeight="1">
      <c r="A182" s="452" t="s">
        <v>162</v>
      </c>
      <c r="B182" s="344" t="s">
        <v>1932</v>
      </c>
      <c r="C182" s="349" t="s">
        <v>1934</v>
      </c>
      <c r="D182" s="462">
        <v>107</v>
      </c>
      <c r="E182" s="638"/>
      <c r="F182" s="638">
        <v>26.55</v>
      </c>
      <c r="G182" s="638"/>
      <c r="H182" s="638">
        <v>0</v>
      </c>
      <c r="I182" s="638"/>
      <c r="J182" s="638">
        <v>26.55</v>
      </c>
      <c r="K182" s="638"/>
      <c r="L182" s="638"/>
      <c r="M182" s="638"/>
      <c r="N182" s="638"/>
      <c r="O182" s="638"/>
      <c r="P182" s="638">
        <v>0</v>
      </c>
      <c r="Q182" s="620">
        <f t="shared" si="13"/>
        <v>13.275</v>
      </c>
      <c r="R182" s="331" t="str">
        <f t="shared" si="16"/>
        <v>NO</v>
      </c>
      <c r="S182" s="347" t="str">
        <f t="shared" si="15"/>
        <v>Bajo</v>
      </c>
      <c r="T182" s="16"/>
    </row>
    <row r="183" spans="1:20" ht="32.1" customHeight="1">
      <c r="A183" s="452" t="s">
        <v>162</v>
      </c>
      <c r="B183" s="344" t="s">
        <v>1935</v>
      </c>
      <c r="C183" s="349" t="s">
        <v>1936</v>
      </c>
      <c r="D183" s="462">
        <v>175</v>
      </c>
      <c r="E183" s="638"/>
      <c r="F183" s="638"/>
      <c r="G183" s="638"/>
      <c r="H183" s="638">
        <v>0</v>
      </c>
      <c r="I183" s="638"/>
      <c r="J183" s="638"/>
      <c r="K183" s="638"/>
      <c r="L183" s="638"/>
      <c r="M183" s="638"/>
      <c r="N183" s="638">
        <v>0</v>
      </c>
      <c r="O183" s="638"/>
      <c r="P183" s="638"/>
      <c r="Q183" s="620">
        <f t="shared" si="13"/>
        <v>0</v>
      </c>
      <c r="R183" s="331" t="str">
        <f t="shared" si="16"/>
        <v>SI</v>
      </c>
      <c r="S183" s="347" t="str">
        <f t="shared" si="15"/>
        <v>Sin Riesgo</v>
      </c>
      <c r="T183" s="16"/>
    </row>
    <row r="184" spans="1:20" ht="32.1" customHeight="1">
      <c r="A184" s="452" t="s">
        <v>162</v>
      </c>
      <c r="B184" s="344" t="s">
        <v>1937</v>
      </c>
      <c r="C184" s="349" t="s">
        <v>1938</v>
      </c>
      <c r="D184" s="462">
        <v>94</v>
      </c>
      <c r="E184" s="638"/>
      <c r="F184" s="638"/>
      <c r="G184" s="638">
        <v>97.35</v>
      </c>
      <c r="H184" s="638"/>
      <c r="I184" s="638"/>
      <c r="J184" s="638"/>
      <c r="K184" s="638"/>
      <c r="L184" s="638"/>
      <c r="M184" s="638"/>
      <c r="N184" s="638"/>
      <c r="O184" s="638"/>
      <c r="P184" s="638">
        <v>96.39</v>
      </c>
      <c r="Q184" s="620">
        <f t="shared" si="13"/>
        <v>96.87</v>
      </c>
      <c r="R184" s="331" t="str">
        <f t="shared" si="16"/>
        <v>NO</v>
      </c>
      <c r="S184" s="347" t="str">
        <f t="shared" si="15"/>
        <v>Inviable Sanitariamente</v>
      </c>
      <c r="T184" s="16"/>
    </row>
    <row r="185" spans="1:20" ht="32.1" customHeight="1">
      <c r="A185" s="452" t="s">
        <v>162</v>
      </c>
      <c r="B185" s="344" t="s">
        <v>1937</v>
      </c>
      <c r="C185" s="349" t="s">
        <v>1939</v>
      </c>
      <c r="D185" s="462">
        <v>82</v>
      </c>
      <c r="E185" s="638"/>
      <c r="F185" s="638"/>
      <c r="G185" s="638">
        <v>97.35</v>
      </c>
      <c r="H185" s="638"/>
      <c r="I185" s="638"/>
      <c r="J185" s="638"/>
      <c r="K185" s="638"/>
      <c r="L185" s="638"/>
      <c r="M185" s="638"/>
      <c r="N185" s="638"/>
      <c r="O185" s="638"/>
      <c r="P185" s="638">
        <v>96.39</v>
      </c>
      <c r="Q185" s="620">
        <f t="shared" si="13"/>
        <v>96.87</v>
      </c>
      <c r="R185" s="331" t="str">
        <f t="shared" si="16"/>
        <v>NO</v>
      </c>
      <c r="S185" s="347" t="str">
        <f t="shared" si="15"/>
        <v>Inviable Sanitariamente</v>
      </c>
      <c r="T185" s="16"/>
    </row>
    <row r="186" spans="1:20" ht="32.1" customHeight="1">
      <c r="A186" s="452" t="s">
        <v>162</v>
      </c>
      <c r="B186" s="344" t="s">
        <v>1940</v>
      </c>
      <c r="C186" s="349" t="s">
        <v>1941</v>
      </c>
      <c r="D186" s="463">
        <v>19</v>
      </c>
      <c r="E186" s="638"/>
      <c r="F186" s="638"/>
      <c r="G186" s="638"/>
      <c r="H186" s="638">
        <v>97.35</v>
      </c>
      <c r="I186" s="638"/>
      <c r="J186" s="638"/>
      <c r="K186" s="638"/>
      <c r="L186" s="638"/>
      <c r="M186" s="638"/>
      <c r="N186" s="638"/>
      <c r="O186" s="638"/>
      <c r="P186" s="638">
        <v>96.39</v>
      </c>
      <c r="Q186" s="620">
        <f t="shared" si="13"/>
        <v>96.87</v>
      </c>
      <c r="R186" s="331" t="str">
        <f t="shared" si="16"/>
        <v>NO</v>
      </c>
      <c r="S186" s="347" t="str">
        <f t="shared" si="15"/>
        <v>Inviable Sanitariamente</v>
      </c>
      <c r="T186" s="16"/>
    </row>
    <row r="187" spans="1:20" ht="32.1" customHeight="1">
      <c r="A187" s="452" t="s">
        <v>162</v>
      </c>
      <c r="B187" s="344" t="s">
        <v>1942</v>
      </c>
      <c r="C187" s="349" t="s">
        <v>1943</v>
      </c>
      <c r="D187" s="463">
        <v>44</v>
      </c>
      <c r="E187" s="638"/>
      <c r="F187" s="638"/>
      <c r="G187" s="638"/>
      <c r="H187" s="638">
        <v>97.35</v>
      </c>
      <c r="I187" s="638"/>
      <c r="J187" s="638"/>
      <c r="K187" s="638"/>
      <c r="L187" s="638"/>
      <c r="M187" s="638"/>
      <c r="N187" s="638"/>
      <c r="O187" s="638"/>
      <c r="P187" s="638">
        <v>96.39</v>
      </c>
      <c r="Q187" s="620">
        <f t="shared" si="13"/>
        <v>96.87</v>
      </c>
      <c r="R187" s="331" t="str">
        <f t="shared" si="16"/>
        <v>NO</v>
      </c>
      <c r="S187" s="347" t="str">
        <f t="shared" si="15"/>
        <v>Inviable Sanitariamente</v>
      </c>
      <c r="T187" s="16"/>
    </row>
    <row r="188" spans="1:20" ht="32.1" customHeight="1">
      <c r="A188" s="452" t="s">
        <v>162</v>
      </c>
      <c r="B188" s="344" t="s">
        <v>1944</v>
      </c>
      <c r="C188" s="350" t="s">
        <v>1945</v>
      </c>
      <c r="D188" s="462">
        <v>167</v>
      </c>
      <c r="E188" s="638"/>
      <c r="F188" s="638">
        <v>97.35</v>
      </c>
      <c r="G188" s="638"/>
      <c r="H188" s="638"/>
      <c r="I188" s="638"/>
      <c r="J188" s="638"/>
      <c r="K188" s="638"/>
      <c r="L188" s="638"/>
      <c r="M188" s="638"/>
      <c r="N188" s="638">
        <v>96.39</v>
      </c>
      <c r="O188" s="638"/>
      <c r="P188" s="638"/>
      <c r="Q188" s="620">
        <f t="shared" si="13"/>
        <v>96.87</v>
      </c>
      <c r="R188" s="331" t="str">
        <f t="shared" si="16"/>
        <v>NO</v>
      </c>
      <c r="S188" s="347" t="str">
        <f t="shared" si="15"/>
        <v>Inviable Sanitariamente</v>
      </c>
      <c r="T188" s="16"/>
    </row>
    <row r="189" spans="1:20" ht="32.1" customHeight="1">
      <c r="A189" s="452" t="s">
        <v>162</v>
      </c>
      <c r="B189" s="344" t="s">
        <v>1946</v>
      </c>
      <c r="C189" s="349" t="s">
        <v>1947</v>
      </c>
      <c r="D189" s="463">
        <v>37</v>
      </c>
      <c r="E189" s="638"/>
      <c r="F189" s="638"/>
      <c r="G189" s="638"/>
      <c r="H189" s="638">
        <v>97.35</v>
      </c>
      <c r="I189" s="638"/>
      <c r="J189" s="638"/>
      <c r="K189" s="638"/>
      <c r="L189" s="638"/>
      <c r="M189" s="638">
        <v>70.8</v>
      </c>
      <c r="N189" s="638"/>
      <c r="O189" s="638"/>
      <c r="P189" s="638"/>
      <c r="Q189" s="620">
        <f t="shared" si="13"/>
        <v>84.074999999999989</v>
      </c>
      <c r="R189" s="331" t="str">
        <f t="shared" si="16"/>
        <v>NO</v>
      </c>
      <c r="S189" s="347" t="str">
        <f t="shared" si="15"/>
        <v>Inviable Sanitariamente</v>
      </c>
      <c r="T189" s="16"/>
    </row>
    <row r="190" spans="1:20" ht="32.1" customHeight="1">
      <c r="A190" s="452" t="s">
        <v>162</v>
      </c>
      <c r="B190" s="344" t="s">
        <v>1948</v>
      </c>
      <c r="C190" s="349" t="s">
        <v>1949</v>
      </c>
      <c r="D190" s="462">
        <v>28</v>
      </c>
      <c r="E190" s="638"/>
      <c r="F190" s="638"/>
      <c r="G190" s="640"/>
      <c r="H190" s="638">
        <v>97.3</v>
      </c>
      <c r="I190" s="638"/>
      <c r="J190" s="638"/>
      <c r="K190" s="638"/>
      <c r="L190" s="638"/>
      <c r="M190" s="638"/>
      <c r="N190" s="638"/>
      <c r="O190" s="638"/>
      <c r="P190" s="638"/>
      <c r="Q190" s="620">
        <f t="shared" si="13"/>
        <v>97.3</v>
      </c>
      <c r="R190" s="331" t="str">
        <f t="shared" si="16"/>
        <v>NO</v>
      </c>
      <c r="S190" s="347" t="str">
        <f t="shared" si="15"/>
        <v>Inviable Sanitariamente</v>
      </c>
      <c r="T190" s="16"/>
    </row>
    <row r="191" spans="1:20" ht="32.1" customHeight="1">
      <c r="A191" s="452" t="s">
        <v>162</v>
      </c>
      <c r="B191" s="344" t="s">
        <v>1950</v>
      </c>
      <c r="C191" s="349" t="s">
        <v>1951</v>
      </c>
      <c r="D191" s="462">
        <v>221</v>
      </c>
      <c r="E191" s="638"/>
      <c r="F191" s="638"/>
      <c r="G191" s="638">
        <v>97.3</v>
      </c>
      <c r="H191" s="638"/>
      <c r="I191" s="638"/>
      <c r="J191" s="638"/>
      <c r="K191" s="638"/>
      <c r="L191" s="638"/>
      <c r="M191" s="638"/>
      <c r="N191" s="638"/>
      <c r="O191" s="638"/>
      <c r="P191" s="638"/>
      <c r="Q191" s="620">
        <f t="shared" si="13"/>
        <v>97.3</v>
      </c>
      <c r="R191" s="331" t="str">
        <f t="shared" si="16"/>
        <v>NO</v>
      </c>
      <c r="S191" s="347" t="str">
        <f t="shared" si="15"/>
        <v>Inviable Sanitariamente</v>
      </c>
      <c r="T191" s="16"/>
    </row>
    <row r="192" spans="1:20" ht="32.1" customHeight="1">
      <c r="A192" s="452" t="s">
        <v>162</v>
      </c>
      <c r="B192" s="344" t="s">
        <v>1952</v>
      </c>
      <c r="C192" s="350" t="s">
        <v>1953</v>
      </c>
      <c r="D192" s="304">
        <v>44</v>
      </c>
      <c r="E192" s="638"/>
      <c r="F192" s="638"/>
      <c r="G192" s="638"/>
      <c r="H192" s="638"/>
      <c r="I192" s="638"/>
      <c r="J192" s="638">
        <v>93.4</v>
      </c>
      <c r="K192" s="638"/>
      <c r="L192" s="638"/>
      <c r="M192" s="638"/>
      <c r="N192" s="638"/>
      <c r="O192" s="638"/>
      <c r="P192" s="638"/>
      <c r="Q192" s="620">
        <f t="shared" si="13"/>
        <v>93.4</v>
      </c>
      <c r="R192" s="331" t="str">
        <f t="shared" si="16"/>
        <v>NO</v>
      </c>
      <c r="S192" s="347" t="str">
        <f t="shared" si="15"/>
        <v>Inviable Sanitariamente</v>
      </c>
      <c r="T192" s="16"/>
    </row>
    <row r="193" spans="1:20" ht="32.1" customHeight="1">
      <c r="A193" s="452" t="s">
        <v>162</v>
      </c>
      <c r="B193" s="324" t="s">
        <v>1954</v>
      </c>
      <c r="C193" s="318" t="s">
        <v>1955</v>
      </c>
      <c r="D193" s="354">
        <v>41</v>
      </c>
      <c r="E193" s="638"/>
      <c r="F193" s="638"/>
      <c r="G193" s="638"/>
      <c r="H193" s="638"/>
      <c r="I193" s="638"/>
      <c r="J193" s="638">
        <v>93.4</v>
      </c>
      <c r="K193" s="638"/>
      <c r="L193" s="638"/>
      <c r="M193" s="638"/>
      <c r="N193" s="638"/>
      <c r="O193" s="638"/>
      <c r="P193" s="638"/>
      <c r="Q193" s="620">
        <f t="shared" si="13"/>
        <v>93.4</v>
      </c>
      <c r="R193" s="331" t="str">
        <f t="shared" si="16"/>
        <v>NO</v>
      </c>
      <c r="S193" s="347" t="str">
        <f t="shared" si="15"/>
        <v>Inviable Sanitariamente</v>
      </c>
      <c r="T193" s="16"/>
    </row>
    <row r="194" spans="1:20" ht="32.1" customHeight="1">
      <c r="A194" s="595" t="s">
        <v>163</v>
      </c>
      <c r="B194" s="566" t="s">
        <v>1956</v>
      </c>
      <c r="C194" s="567" t="s">
        <v>1957</v>
      </c>
      <c r="D194" s="304">
        <v>95</v>
      </c>
      <c r="E194" s="368"/>
      <c r="F194" s="368"/>
      <c r="G194" s="368"/>
      <c r="H194" s="368"/>
      <c r="I194" s="368"/>
      <c r="J194" s="368">
        <v>53</v>
      </c>
      <c r="K194" s="368"/>
      <c r="L194" s="368"/>
      <c r="M194" s="368"/>
      <c r="N194" s="368"/>
      <c r="O194" s="368"/>
      <c r="P194" s="368"/>
      <c r="Q194" s="620">
        <f t="shared" si="13"/>
        <v>53</v>
      </c>
      <c r="R194" s="331" t="str">
        <f t="shared" si="16"/>
        <v>NO</v>
      </c>
      <c r="S194" s="347" t="str">
        <f t="shared" si="15"/>
        <v>Alto</v>
      </c>
      <c r="T194" s="16"/>
    </row>
    <row r="195" spans="1:20" ht="32.1" customHeight="1">
      <c r="A195" s="597" t="s">
        <v>163</v>
      </c>
      <c r="B195" s="566" t="s">
        <v>1958</v>
      </c>
      <c r="C195" s="567" t="s">
        <v>1959</v>
      </c>
      <c r="D195" s="346">
        <v>120</v>
      </c>
      <c r="E195" s="445"/>
      <c r="F195" s="445"/>
      <c r="G195" s="445"/>
      <c r="H195" s="445"/>
      <c r="I195" s="445"/>
      <c r="J195" s="445"/>
      <c r="K195" s="445"/>
      <c r="L195" s="445"/>
      <c r="M195" s="445">
        <v>64</v>
      </c>
      <c r="N195" s="445"/>
      <c r="O195" s="445"/>
      <c r="P195" s="445"/>
      <c r="Q195" s="637">
        <f t="shared" si="13"/>
        <v>64</v>
      </c>
      <c r="R195" s="331" t="str">
        <f t="shared" si="16"/>
        <v>NO</v>
      </c>
      <c r="S195" s="347" t="str">
        <f t="shared" si="15"/>
        <v>Alto</v>
      </c>
      <c r="T195" s="16"/>
    </row>
    <row r="196" spans="1:20" ht="32.1" customHeight="1">
      <c r="A196" s="597" t="s">
        <v>163</v>
      </c>
      <c r="B196" s="566" t="s">
        <v>1960</v>
      </c>
      <c r="C196" s="567" t="s">
        <v>1961</v>
      </c>
      <c r="D196" s="346">
        <v>34</v>
      </c>
      <c r="E196" s="445"/>
      <c r="F196" s="445"/>
      <c r="G196" s="445"/>
      <c r="H196" s="445"/>
      <c r="I196" s="445"/>
      <c r="J196" s="445"/>
      <c r="K196" s="445"/>
      <c r="L196" s="445"/>
      <c r="M196" s="445"/>
      <c r="N196" s="445"/>
      <c r="O196" s="445"/>
      <c r="P196" s="445">
        <v>96.4</v>
      </c>
      <c r="Q196" s="637">
        <f t="shared" si="13"/>
        <v>96.4</v>
      </c>
      <c r="R196" s="331" t="str">
        <f t="shared" si="16"/>
        <v>NO</v>
      </c>
      <c r="S196" s="347" t="str">
        <f t="shared" si="15"/>
        <v>Inviable Sanitariamente</v>
      </c>
      <c r="T196" s="16"/>
    </row>
    <row r="197" spans="1:20" ht="32.1" customHeight="1">
      <c r="A197" s="597" t="s">
        <v>163</v>
      </c>
      <c r="B197" s="566" t="s">
        <v>1962</v>
      </c>
      <c r="C197" s="567" t="s">
        <v>1963</v>
      </c>
      <c r="D197" s="346">
        <v>75</v>
      </c>
      <c r="E197" s="445"/>
      <c r="F197" s="445"/>
      <c r="G197" s="445"/>
      <c r="H197" s="445">
        <v>96.4</v>
      </c>
      <c r="I197" s="445"/>
      <c r="J197" s="445"/>
      <c r="K197" s="445"/>
      <c r="L197" s="445"/>
      <c r="M197" s="445"/>
      <c r="N197" s="445">
        <v>96.4</v>
      </c>
      <c r="O197" s="445"/>
      <c r="P197" s="445"/>
      <c r="Q197" s="637">
        <f t="shared" si="13"/>
        <v>96.4</v>
      </c>
      <c r="R197" s="331" t="str">
        <f t="shared" si="16"/>
        <v>NO</v>
      </c>
      <c r="S197" s="347" t="str">
        <f t="shared" si="15"/>
        <v>Inviable Sanitariamente</v>
      </c>
      <c r="T197" s="16"/>
    </row>
    <row r="198" spans="1:20" ht="32.1" customHeight="1">
      <c r="A198" s="597" t="s">
        <v>163</v>
      </c>
      <c r="B198" s="566" t="s">
        <v>1964</v>
      </c>
      <c r="C198" s="567" t="s">
        <v>1965</v>
      </c>
      <c r="D198" s="346">
        <v>40</v>
      </c>
      <c r="E198" s="445"/>
      <c r="F198" s="445"/>
      <c r="G198" s="445"/>
      <c r="H198" s="445"/>
      <c r="I198" s="445">
        <v>96.4</v>
      </c>
      <c r="J198" s="445"/>
      <c r="K198" s="445"/>
      <c r="L198" s="445"/>
      <c r="M198" s="445"/>
      <c r="N198" s="445"/>
      <c r="O198" s="445"/>
      <c r="P198" s="445"/>
      <c r="Q198" s="637">
        <f t="shared" si="13"/>
        <v>96.4</v>
      </c>
      <c r="R198" s="331" t="str">
        <f t="shared" si="16"/>
        <v>NO</v>
      </c>
      <c r="S198" s="347" t="str">
        <f t="shared" si="15"/>
        <v>Inviable Sanitariamente</v>
      </c>
      <c r="T198" s="16"/>
    </row>
    <row r="199" spans="1:20" ht="32.1" customHeight="1">
      <c r="A199" s="597" t="s">
        <v>163</v>
      </c>
      <c r="B199" s="566" t="s">
        <v>237</v>
      </c>
      <c r="C199" s="567" t="s">
        <v>1966</v>
      </c>
      <c r="D199" s="346">
        <v>72</v>
      </c>
      <c r="E199" s="445"/>
      <c r="F199" s="445"/>
      <c r="G199" s="445"/>
      <c r="H199" s="445">
        <v>96.4</v>
      </c>
      <c r="I199" s="445"/>
      <c r="J199" s="445"/>
      <c r="K199" s="445"/>
      <c r="L199" s="445"/>
      <c r="M199" s="445"/>
      <c r="N199" s="445"/>
      <c r="O199" s="445"/>
      <c r="P199" s="445"/>
      <c r="Q199" s="637">
        <f t="shared" si="13"/>
        <v>96.4</v>
      </c>
      <c r="R199" s="331" t="str">
        <f t="shared" si="16"/>
        <v>NO</v>
      </c>
      <c r="S199" s="347" t="str">
        <f t="shared" si="15"/>
        <v>Inviable Sanitariamente</v>
      </c>
      <c r="T199" s="16"/>
    </row>
    <row r="200" spans="1:20" ht="32.1" customHeight="1">
      <c r="A200" s="597" t="s">
        <v>163</v>
      </c>
      <c r="B200" s="566" t="s">
        <v>1967</v>
      </c>
      <c r="C200" s="567" t="s">
        <v>1968</v>
      </c>
      <c r="D200" s="346">
        <v>22</v>
      </c>
      <c r="E200" s="445"/>
      <c r="F200" s="445"/>
      <c r="G200" s="445"/>
      <c r="H200" s="445"/>
      <c r="I200" s="445"/>
      <c r="J200" s="445"/>
      <c r="K200" s="445"/>
      <c r="L200" s="445"/>
      <c r="M200" s="445"/>
      <c r="N200" s="445"/>
      <c r="O200" s="445"/>
      <c r="P200" s="445">
        <v>96.4</v>
      </c>
      <c r="Q200" s="637">
        <f t="shared" si="13"/>
        <v>96.4</v>
      </c>
      <c r="R200" s="331" t="str">
        <f t="shared" si="16"/>
        <v>NO</v>
      </c>
      <c r="S200" s="347" t="str">
        <f t="shared" si="15"/>
        <v>Inviable Sanitariamente</v>
      </c>
      <c r="T200" s="16"/>
    </row>
    <row r="201" spans="1:20" ht="32.1" customHeight="1">
      <c r="A201" s="597" t="s">
        <v>163</v>
      </c>
      <c r="B201" s="566" t="s">
        <v>1969</v>
      </c>
      <c r="C201" s="567" t="s">
        <v>1970</v>
      </c>
      <c r="D201" s="399">
        <v>42</v>
      </c>
      <c r="E201" s="445"/>
      <c r="F201" s="445"/>
      <c r="G201" s="445"/>
      <c r="H201" s="445"/>
      <c r="I201" s="445"/>
      <c r="J201" s="445"/>
      <c r="K201" s="445"/>
      <c r="L201" s="445"/>
      <c r="M201" s="445"/>
      <c r="N201" s="445">
        <v>96.4</v>
      </c>
      <c r="O201" s="445"/>
      <c r="P201" s="445"/>
      <c r="Q201" s="637">
        <f t="shared" si="13"/>
        <v>96.4</v>
      </c>
      <c r="R201" s="331" t="str">
        <f t="shared" si="16"/>
        <v>NO</v>
      </c>
      <c r="S201" s="347" t="str">
        <f t="shared" si="15"/>
        <v>Inviable Sanitariamente</v>
      </c>
      <c r="T201" s="16"/>
    </row>
    <row r="202" spans="1:20" ht="32.1" customHeight="1">
      <c r="A202" s="595" t="s">
        <v>163</v>
      </c>
      <c r="B202" s="566" t="s">
        <v>1285</v>
      </c>
      <c r="C202" s="567" t="s">
        <v>1971</v>
      </c>
      <c r="D202" s="304">
        <v>54</v>
      </c>
      <c r="E202" s="368"/>
      <c r="F202" s="368"/>
      <c r="G202" s="368"/>
      <c r="H202" s="368"/>
      <c r="I202" s="368">
        <v>53</v>
      </c>
      <c r="J202" s="368"/>
      <c r="K202" s="368"/>
      <c r="L202" s="368"/>
      <c r="M202" s="368"/>
      <c r="N202" s="368"/>
      <c r="O202" s="368"/>
      <c r="P202" s="368"/>
      <c r="Q202" s="620">
        <f t="shared" si="13"/>
        <v>53</v>
      </c>
      <c r="R202" s="331" t="str">
        <f t="shared" si="16"/>
        <v>NO</v>
      </c>
      <c r="S202" s="347" t="str">
        <f t="shared" si="15"/>
        <v>Alto</v>
      </c>
      <c r="T202" s="16"/>
    </row>
    <row r="203" spans="1:20" ht="32.1" customHeight="1">
      <c r="A203" s="595" t="s">
        <v>163</v>
      </c>
      <c r="B203" s="566" t="s">
        <v>1972</v>
      </c>
      <c r="C203" s="567" t="s">
        <v>1973</v>
      </c>
      <c r="D203" s="304">
        <v>138</v>
      </c>
      <c r="E203" s="368"/>
      <c r="F203" s="368"/>
      <c r="G203" s="368">
        <v>53</v>
      </c>
      <c r="H203" s="368"/>
      <c r="I203" s="368"/>
      <c r="J203" s="368"/>
      <c r="K203" s="368"/>
      <c r="L203" s="368"/>
      <c r="M203" s="368"/>
      <c r="N203" s="368"/>
      <c r="O203" s="368"/>
      <c r="P203" s="368"/>
      <c r="Q203" s="620">
        <f t="shared" si="13"/>
        <v>53</v>
      </c>
      <c r="R203" s="331" t="str">
        <f t="shared" si="16"/>
        <v>NO</v>
      </c>
      <c r="S203" s="347" t="str">
        <f t="shared" si="15"/>
        <v>Alto</v>
      </c>
      <c r="T203" s="16"/>
    </row>
    <row r="204" spans="1:20" ht="32.1" customHeight="1">
      <c r="A204" s="452" t="s">
        <v>163</v>
      </c>
      <c r="B204" s="324" t="s">
        <v>1974</v>
      </c>
      <c r="C204" s="318" t="s">
        <v>1975</v>
      </c>
      <c r="D204" s="418">
        <v>102</v>
      </c>
      <c r="E204" s="641"/>
      <c r="F204" s="641"/>
      <c r="G204" s="641"/>
      <c r="H204" s="641"/>
      <c r="I204" s="641"/>
      <c r="J204" s="641"/>
      <c r="K204" s="641"/>
      <c r="L204" s="641"/>
      <c r="M204" s="641">
        <v>96.4</v>
      </c>
      <c r="N204" s="641"/>
      <c r="O204" s="641"/>
      <c r="P204" s="641"/>
      <c r="Q204" s="620">
        <f t="shared" si="13"/>
        <v>96.4</v>
      </c>
      <c r="R204" s="331" t="str">
        <f t="shared" si="16"/>
        <v>NO</v>
      </c>
      <c r="S204" s="347" t="str">
        <f t="shared" si="15"/>
        <v>Inviable Sanitariamente</v>
      </c>
      <c r="T204" s="16"/>
    </row>
    <row r="205" spans="1:20" ht="32.1" customHeight="1">
      <c r="A205" s="452" t="s">
        <v>163</v>
      </c>
      <c r="B205" s="324" t="s">
        <v>1976</v>
      </c>
      <c r="C205" s="318" t="s">
        <v>1977</v>
      </c>
      <c r="D205" s="418">
        <v>109</v>
      </c>
      <c r="E205" s="641"/>
      <c r="F205" s="641"/>
      <c r="G205" s="641"/>
      <c r="H205" s="641"/>
      <c r="I205" s="641"/>
      <c r="J205" s="641"/>
      <c r="K205" s="641"/>
      <c r="L205" s="641"/>
      <c r="M205" s="641">
        <v>96.4</v>
      </c>
      <c r="N205" s="641"/>
      <c r="O205" s="641"/>
      <c r="P205" s="641"/>
      <c r="Q205" s="620">
        <f t="shared" si="13"/>
        <v>96.4</v>
      </c>
      <c r="R205" s="331" t="str">
        <f t="shared" si="16"/>
        <v>NO</v>
      </c>
      <c r="S205" s="347" t="str">
        <f t="shared" si="15"/>
        <v>Inviable Sanitariamente</v>
      </c>
      <c r="T205" s="16"/>
    </row>
    <row r="206" spans="1:20" ht="32.1" customHeight="1">
      <c r="A206" s="452" t="s">
        <v>163</v>
      </c>
      <c r="B206" s="324" t="s">
        <v>1978</v>
      </c>
      <c r="C206" s="318" t="s">
        <v>1979</v>
      </c>
      <c r="D206" s="419">
        <v>62</v>
      </c>
      <c r="E206" s="641"/>
      <c r="F206" s="641"/>
      <c r="G206" s="641"/>
      <c r="H206" s="641"/>
      <c r="I206" s="641"/>
      <c r="J206" s="641">
        <v>96.4</v>
      </c>
      <c r="K206" s="641"/>
      <c r="L206" s="641"/>
      <c r="M206" s="641"/>
      <c r="N206" s="641"/>
      <c r="O206" s="641"/>
      <c r="P206" s="641"/>
      <c r="Q206" s="620">
        <f t="shared" si="13"/>
        <v>96.4</v>
      </c>
      <c r="R206" s="331" t="str">
        <f t="shared" si="16"/>
        <v>NO</v>
      </c>
      <c r="S206" s="347" t="str">
        <f t="shared" si="15"/>
        <v>Inviable Sanitariamente</v>
      </c>
      <c r="T206" s="16"/>
    </row>
    <row r="207" spans="1:20" ht="32.1" customHeight="1">
      <c r="A207" s="452" t="s">
        <v>163</v>
      </c>
      <c r="B207" s="324" t="s">
        <v>1980</v>
      </c>
      <c r="C207" s="318" t="s">
        <v>1981</v>
      </c>
      <c r="D207" s="418">
        <v>39</v>
      </c>
      <c r="E207" s="641"/>
      <c r="F207" s="641"/>
      <c r="G207" s="641"/>
      <c r="H207" s="641"/>
      <c r="I207" s="641"/>
      <c r="J207" s="641"/>
      <c r="K207" s="641"/>
      <c r="L207" s="641">
        <v>96.4</v>
      </c>
      <c r="M207" s="641"/>
      <c r="N207" s="641"/>
      <c r="O207" s="641"/>
      <c r="P207" s="641"/>
      <c r="Q207" s="620">
        <f t="shared" si="13"/>
        <v>96.4</v>
      </c>
      <c r="R207" s="331" t="str">
        <f t="shared" si="16"/>
        <v>NO</v>
      </c>
      <c r="S207" s="347" t="str">
        <f t="shared" si="15"/>
        <v>Inviable Sanitariamente</v>
      </c>
      <c r="T207" s="16"/>
    </row>
    <row r="208" spans="1:20" ht="32.1" customHeight="1">
      <c r="A208" s="595" t="s">
        <v>163</v>
      </c>
      <c r="B208" s="566" t="s">
        <v>1982</v>
      </c>
      <c r="C208" s="567" t="s">
        <v>1983</v>
      </c>
      <c r="D208" s="304">
        <v>138</v>
      </c>
      <c r="E208" s="368"/>
      <c r="F208" s="368"/>
      <c r="G208" s="368"/>
      <c r="H208" s="368"/>
      <c r="I208" s="368"/>
      <c r="J208" s="368">
        <v>96</v>
      </c>
      <c r="K208" s="368"/>
      <c r="L208" s="368"/>
      <c r="M208" s="368"/>
      <c r="N208" s="368"/>
      <c r="O208" s="368"/>
      <c r="P208" s="368"/>
      <c r="Q208" s="620">
        <f t="shared" ref="Q208:Q226" si="17">AVERAGE(E208:P208)</f>
        <v>96</v>
      </c>
      <c r="R208" s="331" t="str">
        <f t="shared" si="16"/>
        <v>NO</v>
      </c>
      <c r="S208" s="347" t="str">
        <f t="shared" ref="S208:S271" si="18">IF(Q208&lt;5,"Sin Riesgo",IF(Q208 &lt;=14,"Bajo",IF(Q208&lt;=35,"Medio",IF(Q208&lt;=80,"Alto","Inviable Sanitariamente"))))</f>
        <v>Inviable Sanitariamente</v>
      </c>
      <c r="T208" s="16"/>
    </row>
    <row r="209" spans="1:20" ht="32.1" customHeight="1">
      <c r="A209" s="597" t="s">
        <v>163</v>
      </c>
      <c r="B209" s="566" t="s">
        <v>1582</v>
      </c>
      <c r="C209" s="567" t="s">
        <v>1984</v>
      </c>
      <c r="D209" s="418">
        <v>50</v>
      </c>
      <c r="E209" s="641"/>
      <c r="F209" s="641">
        <v>96.4</v>
      </c>
      <c r="G209" s="641"/>
      <c r="H209" s="641"/>
      <c r="I209" s="641"/>
      <c r="J209" s="641"/>
      <c r="K209" s="641"/>
      <c r="L209" s="641"/>
      <c r="M209" s="641"/>
      <c r="N209" s="641"/>
      <c r="O209" s="641"/>
      <c r="P209" s="641">
        <v>96.4</v>
      </c>
      <c r="Q209" s="620">
        <f t="shared" si="17"/>
        <v>96.4</v>
      </c>
      <c r="R209" s="331" t="str">
        <f t="shared" si="16"/>
        <v>NO</v>
      </c>
      <c r="S209" s="347" t="str">
        <f t="shared" si="18"/>
        <v>Inviable Sanitariamente</v>
      </c>
      <c r="T209" s="16"/>
    </row>
    <row r="210" spans="1:20" ht="32.1" customHeight="1">
      <c r="A210" s="597" t="s">
        <v>163</v>
      </c>
      <c r="B210" s="566" t="s">
        <v>1985</v>
      </c>
      <c r="C210" s="567" t="s">
        <v>1986</v>
      </c>
      <c r="D210" s="418">
        <v>76</v>
      </c>
      <c r="E210" s="641"/>
      <c r="F210" s="641"/>
      <c r="G210" s="641"/>
      <c r="H210" s="641">
        <v>0</v>
      </c>
      <c r="I210" s="641"/>
      <c r="J210" s="641"/>
      <c r="K210" s="641"/>
      <c r="L210" s="641"/>
      <c r="M210" s="641"/>
      <c r="N210" s="641"/>
      <c r="O210" s="641"/>
      <c r="P210" s="641"/>
      <c r="Q210" s="620">
        <f t="shared" si="17"/>
        <v>0</v>
      </c>
      <c r="R210" s="331" t="str">
        <f t="shared" si="16"/>
        <v>SI</v>
      </c>
      <c r="S210" s="347" t="str">
        <f t="shared" si="18"/>
        <v>Sin Riesgo</v>
      </c>
      <c r="T210" s="16"/>
    </row>
    <row r="211" spans="1:20" ht="32.1" customHeight="1">
      <c r="A211" s="597" t="s">
        <v>163</v>
      </c>
      <c r="B211" s="566" t="s">
        <v>1987</v>
      </c>
      <c r="C211" s="567" t="s">
        <v>1988</v>
      </c>
      <c r="D211" s="418">
        <v>36</v>
      </c>
      <c r="E211" s="641"/>
      <c r="F211" s="641"/>
      <c r="G211" s="641"/>
      <c r="H211" s="641"/>
      <c r="I211" s="641"/>
      <c r="J211" s="641"/>
      <c r="K211" s="641"/>
      <c r="L211" s="641"/>
      <c r="M211" s="641"/>
      <c r="N211" s="641"/>
      <c r="O211" s="641"/>
      <c r="P211" s="641"/>
      <c r="Q211" s="620"/>
      <c r="R211" s="331"/>
      <c r="S211" s="347"/>
      <c r="T211" s="16"/>
    </row>
    <row r="212" spans="1:20" ht="32.1" customHeight="1">
      <c r="A212" s="597" t="s">
        <v>163</v>
      </c>
      <c r="B212" s="595" t="s">
        <v>1989</v>
      </c>
      <c r="C212" s="598" t="s">
        <v>1990</v>
      </c>
      <c r="D212" s="418">
        <v>100</v>
      </c>
      <c r="E212" s="641"/>
      <c r="F212" s="641"/>
      <c r="G212" s="641"/>
      <c r="H212" s="641">
        <v>0</v>
      </c>
      <c r="I212" s="641"/>
      <c r="J212" s="641"/>
      <c r="K212" s="641"/>
      <c r="L212" s="641"/>
      <c r="M212" s="641"/>
      <c r="N212" s="641"/>
      <c r="O212" s="641"/>
      <c r="P212" s="641"/>
      <c r="Q212" s="620">
        <f t="shared" si="17"/>
        <v>0</v>
      </c>
      <c r="R212" s="331" t="str">
        <f t="shared" si="16"/>
        <v>SI</v>
      </c>
      <c r="S212" s="347" t="str">
        <f t="shared" si="18"/>
        <v>Sin Riesgo</v>
      </c>
      <c r="T212" s="16"/>
    </row>
    <row r="213" spans="1:20" ht="32.1" customHeight="1">
      <c r="A213" s="595" t="s">
        <v>163</v>
      </c>
      <c r="B213" s="595" t="s">
        <v>1991</v>
      </c>
      <c r="C213" s="598" t="s">
        <v>1992</v>
      </c>
      <c r="D213" s="345">
        <v>16</v>
      </c>
      <c r="E213" s="368"/>
      <c r="F213" s="368"/>
      <c r="G213" s="368"/>
      <c r="H213" s="368">
        <v>96</v>
      </c>
      <c r="I213" s="368"/>
      <c r="J213" s="368"/>
      <c r="K213" s="368"/>
      <c r="L213" s="368"/>
      <c r="M213" s="368"/>
      <c r="N213" s="368"/>
      <c r="O213" s="368"/>
      <c r="P213" s="368"/>
      <c r="Q213" s="620">
        <f t="shared" si="17"/>
        <v>96</v>
      </c>
      <c r="R213" s="331" t="str">
        <f t="shared" si="16"/>
        <v>NO</v>
      </c>
      <c r="S213" s="347" t="str">
        <f t="shared" si="18"/>
        <v>Inviable Sanitariamente</v>
      </c>
      <c r="T213" s="16"/>
    </row>
    <row r="214" spans="1:20" ht="32.1" customHeight="1">
      <c r="A214" s="597" t="s">
        <v>163</v>
      </c>
      <c r="B214" s="595" t="s">
        <v>1264</v>
      </c>
      <c r="C214" s="598" t="s">
        <v>1993</v>
      </c>
      <c r="D214" s="346">
        <v>104</v>
      </c>
      <c r="E214" s="445"/>
      <c r="F214" s="445"/>
      <c r="G214" s="445"/>
      <c r="H214" s="642"/>
      <c r="I214" s="641"/>
      <c r="J214" s="641"/>
      <c r="K214" s="641"/>
      <c r="L214" s="641"/>
      <c r="M214" s="641">
        <v>64</v>
      </c>
      <c r="N214" s="641"/>
      <c r="O214" s="641"/>
      <c r="P214" s="641"/>
      <c r="Q214" s="620">
        <f t="shared" si="17"/>
        <v>64</v>
      </c>
      <c r="R214" s="331" t="str">
        <f t="shared" si="16"/>
        <v>NO</v>
      </c>
      <c r="S214" s="347" t="str">
        <f t="shared" si="18"/>
        <v>Alto</v>
      </c>
      <c r="T214" s="16"/>
    </row>
    <row r="215" spans="1:20" ht="32.1" customHeight="1">
      <c r="A215" s="595" t="s">
        <v>164</v>
      </c>
      <c r="B215" s="595" t="s">
        <v>1994</v>
      </c>
      <c r="C215" s="598" t="s">
        <v>1995</v>
      </c>
      <c r="D215" s="304">
        <v>194</v>
      </c>
      <c r="E215" s="368"/>
      <c r="F215" s="368">
        <v>0</v>
      </c>
      <c r="G215" s="368"/>
      <c r="H215" s="368"/>
      <c r="I215" s="368"/>
      <c r="J215" s="368"/>
      <c r="K215" s="368"/>
      <c r="L215" s="368"/>
      <c r="M215" s="368"/>
      <c r="N215" s="368"/>
      <c r="O215" s="368"/>
      <c r="P215" s="368"/>
      <c r="Q215" s="620">
        <f t="shared" si="17"/>
        <v>0</v>
      </c>
      <c r="R215" s="331" t="str">
        <f t="shared" si="16"/>
        <v>SI</v>
      </c>
      <c r="S215" s="347" t="str">
        <f t="shared" si="18"/>
        <v>Sin Riesgo</v>
      </c>
      <c r="T215" s="16"/>
    </row>
    <row r="216" spans="1:20" ht="32.1" customHeight="1">
      <c r="A216" s="597" t="s">
        <v>164</v>
      </c>
      <c r="B216" s="595" t="s">
        <v>1367</v>
      </c>
      <c r="C216" s="598" t="s">
        <v>1996</v>
      </c>
      <c r="D216" s="346">
        <v>174</v>
      </c>
      <c r="E216" s="445"/>
      <c r="F216" s="445"/>
      <c r="G216" s="445"/>
      <c r="H216" s="445"/>
      <c r="I216" s="445">
        <v>0</v>
      </c>
      <c r="J216" s="445"/>
      <c r="K216" s="445"/>
      <c r="L216" s="445"/>
      <c r="M216" s="445"/>
      <c r="N216" s="445"/>
      <c r="O216" s="445"/>
      <c r="P216" s="445"/>
      <c r="Q216" s="620">
        <f t="shared" si="17"/>
        <v>0</v>
      </c>
      <c r="R216" s="331" t="str">
        <f t="shared" si="16"/>
        <v>SI</v>
      </c>
      <c r="S216" s="347" t="str">
        <f t="shared" si="18"/>
        <v>Sin Riesgo</v>
      </c>
      <c r="T216" s="16"/>
    </row>
    <row r="217" spans="1:20" ht="32.1" customHeight="1">
      <c r="A217" s="595" t="s">
        <v>164</v>
      </c>
      <c r="B217" s="595" t="s">
        <v>1997</v>
      </c>
      <c r="C217" s="598" t="s">
        <v>1998</v>
      </c>
      <c r="D217" s="304">
        <v>116</v>
      </c>
      <c r="E217" s="368"/>
      <c r="F217" s="368"/>
      <c r="G217" s="368"/>
      <c r="H217" s="368"/>
      <c r="I217" s="368"/>
      <c r="J217" s="368"/>
      <c r="K217" s="368"/>
      <c r="L217" s="368"/>
      <c r="M217" s="368"/>
      <c r="N217" s="368">
        <v>0</v>
      </c>
      <c r="O217" s="368"/>
      <c r="P217" s="368"/>
      <c r="Q217" s="620">
        <f t="shared" si="17"/>
        <v>0</v>
      </c>
      <c r="R217" s="331" t="str">
        <f t="shared" si="16"/>
        <v>SI</v>
      </c>
      <c r="S217" s="347" t="str">
        <f t="shared" si="18"/>
        <v>Sin Riesgo</v>
      </c>
      <c r="T217" s="16"/>
    </row>
    <row r="218" spans="1:20" ht="32.1" customHeight="1">
      <c r="A218" s="595" t="s">
        <v>164</v>
      </c>
      <c r="B218" s="595" t="s">
        <v>1999</v>
      </c>
      <c r="C218" s="598" t="s">
        <v>2000</v>
      </c>
      <c r="D218" s="304">
        <v>134</v>
      </c>
      <c r="E218" s="368"/>
      <c r="F218" s="368"/>
      <c r="G218" s="368"/>
      <c r="H218" s="368"/>
      <c r="I218" s="368"/>
      <c r="J218" s="368"/>
      <c r="K218" s="368">
        <v>26.54</v>
      </c>
      <c r="L218" s="368"/>
      <c r="M218" s="368"/>
      <c r="N218" s="368"/>
      <c r="O218" s="368"/>
      <c r="P218" s="368"/>
      <c r="Q218" s="620">
        <f t="shared" si="17"/>
        <v>26.54</v>
      </c>
      <c r="R218" s="331" t="str">
        <f t="shared" si="16"/>
        <v>NO</v>
      </c>
      <c r="S218" s="347" t="str">
        <f t="shared" si="18"/>
        <v>Medio</v>
      </c>
      <c r="T218" s="16"/>
    </row>
    <row r="219" spans="1:20" ht="32.1" customHeight="1">
      <c r="A219" s="595" t="s">
        <v>164</v>
      </c>
      <c r="B219" s="595" t="s">
        <v>2001</v>
      </c>
      <c r="C219" s="598" t="s">
        <v>2002</v>
      </c>
      <c r="D219" s="304">
        <v>126</v>
      </c>
      <c r="E219" s="368"/>
      <c r="F219" s="368">
        <v>97.34</v>
      </c>
      <c r="G219" s="368"/>
      <c r="H219" s="368"/>
      <c r="I219" s="368"/>
      <c r="J219" s="368"/>
      <c r="K219" s="368"/>
      <c r="L219" s="368"/>
      <c r="M219" s="368"/>
      <c r="N219" s="368"/>
      <c r="O219" s="368"/>
      <c r="P219" s="368"/>
      <c r="Q219" s="620">
        <f t="shared" si="17"/>
        <v>97.34</v>
      </c>
      <c r="R219" s="331" t="str">
        <f t="shared" si="16"/>
        <v>NO</v>
      </c>
      <c r="S219" s="347" t="str">
        <f t="shared" si="18"/>
        <v>Inviable Sanitariamente</v>
      </c>
      <c r="T219" s="16"/>
    </row>
    <row r="220" spans="1:20" ht="32.1" customHeight="1">
      <c r="A220" s="595" t="s">
        <v>164</v>
      </c>
      <c r="B220" s="595" t="s">
        <v>2003</v>
      </c>
      <c r="C220" s="598" t="s">
        <v>2004</v>
      </c>
      <c r="D220" s="345">
        <v>36</v>
      </c>
      <c r="E220" s="368"/>
      <c r="F220" s="368">
        <v>97.34</v>
      </c>
      <c r="G220" s="368"/>
      <c r="H220" s="368"/>
      <c r="I220" s="368"/>
      <c r="J220" s="368"/>
      <c r="K220" s="368">
        <v>97.34</v>
      </c>
      <c r="L220" s="368"/>
      <c r="M220" s="368"/>
      <c r="N220" s="368"/>
      <c r="O220" s="368"/>
      <c r="P220" s="368"/>
      <c r="Q220" s="620">
        <f t="shared" si="17"/>
        <v>97.34</v>
      </c>
      <c r="R220" s="331" t="str">
        <f t="shared" si="16"/>
        <v>NO</v>
      </c>
      <c r="S220" s="347" t="str">
        <f t="shared" si="18"/>
        <v>Inviable Sanitariamente</v>
      </c>
      <c r="T220" s="16"/>
    </row>
    <row r="221" spans="1:20" ht="32.1" customHeight="1">
      <c r="A221" s="595" t="s">
        <v>164</v>
      </c>
      <c r="B221" s="595" t="s">
        <v>2005</v>
      </c>
      <c r="C221" s="606" t="s">
        <v>2006</v>
      </c>
      <c r="D221" s="345">
        <v>32</v>
      </c>
      <c r="E221" s="368"/>
      <c r="F221" s="368">
        <v>0</v>
      </c>
      <c r="G221" s="368"/>
      <c r="H221" s="368"/>
      <c r="I221" s="368"/>
      <c r="J221" s="368"/>
      <c r="K221" s="368">
        <v>0</v>
      </c>
      <c r="L221" s="368"/>
      <c r="M221" s="368"/>
      <c r="N221" s="368"/>
      <c r="O221" s="368"/>
      <c r="P221" s="368"/>
      <c r="Q221" s="620">
        <f t="shared" si="17"/>
        <v>0</v>
      </c>
      <c r="R221" s="331" t="str">
        <f t="shared" si="16"/>
        <v>SI</v>
      </c>
      <c r="S221" s="347" t="str">
        <f t="shared" si="18"/>
        <v>Sin Riesgo</v>
      </c>
      <c r="T221" s="16"/>
    </row>
    <row r="222" spans="1:20" ht="32.1" customHeight="1">
      <c r="A222" s="595" t="s">
        <v>164</v>
      </c>
      <c r="B222" s="595" t="s">
        <v>2007</v>
      </c>
      <c r="C222" s="598" t="s">
        <v>2008</v>
      </c>
      <c r="D222" s="304">
        <v>80</v>
      </c>
      <c r="E222" s="368"/>
      <c r="F222" s="368"/>
      <c r="G222" s="368"/>
      <c r="H222" s="368"/>
      <c r="I222" s="368"/>
      <c r="J222" s="368">
        <v>97.34</v>
      </c>
      <c r="K222" s="368"/>
      <c r="L222" s="368"/>
      <c r="M222" s="368"/>
      <c r="N222" s="368"/>
      <c r="O222" s="368"/>
      <c r="P222" s="368"/>
      <c r="Q222" s="620">
        <f t="shared" si="17"/>
        <v>97.34</v>
      </c>
      <c r="R222" s="331" t="str">
        <f t="shared" si="16"/>
        <v>NO</v>
      </c>
      <c r="S222" s="347" t="str">
        <f t="shared" si="18"/>
        <v>Inviable Sanitariamente</v>
      </c>
      <c r="T222" s="16"/>
    </row>
    <row r="223" spans="1:20" ht="32.1" customHeight="1">
      <c r="A223" s="595" t="s">
        <v>164</v>
      </c>
      <c r="B223" s="595" t="s">
        <v>2009</v>
      </c>
      <c r="C223" s="598" t="s">
        <v>2010</v>
      </c>
      <c r="D223" s="345">
        <v>170</v>
      </c>
      <c r="E223" s="368"/>
      <c r="F223" s="368"/>
      <c r="G223" s="368"/>
      <c r="H223" s="368"/>
      <c r="I223" s="368"/>
      <c r="J223" s="368"/>
      <c r="K223" s="368"/>
      <c r="L223" s="368"/>
      <c r="M223" s="368"/>
      <c r="N223" s="368">
        <v>97.3</v>
      </c>
      <c r="O223" s="368"/>
      <c r="P223" s="368"/>
      <c r="Q223" s="620">
        <f t="shared" si="17"/>
        <v>97.3</v>
      </c>
      <c r="R223" s="331" t="str">
        <f t="shared" si="16"/>
        <v>NO</v>
      </c>
      <c r="S223" s="347" t="str">
        <f t="shared" si="18"/>
        <v>Inviable Sanitariamente</v>
      </c>
      <c r="T223" s="16"/>
    </row>
    <row r="224" spans="1:20" ht="32.1" customHeight="1">
      <c r="A224" s="595" t="s">
        <v>164</v>
      </c>
      <c r="B224" s="595" t="s">
        <v>2011</v>
      </c>
      <c r="C224" s="598" t="s">
        <v>2012</v>
      </c>
      <c r="D224" s="345">
        <v>230</v>
      </c>
      <c r="E224" s="368"/>
      <c r="F224" s="368"/>
      <c r="G224" s="368"/>
      <c r="H224" s="368"/>
      <c r="I224" s="368"/>
      <c r="J224" s="368"/>
      <c r="K224" s="368"/>
      <c r="L224" s="368"/>
      <c r="M224" s="368"/>
      <c r="N224" s="368"/>
      <c r="O224" s="368">
        <v>97.3</v>
      </c>
      <c r="P224" s="368"/>
      <c r="Q224" s="620">
        <f t="shared" si="17"/>
        <v>97.3</v>
      </c>
      <c r="R224" s="331" t="str">
        <f t="shared" si="16"/>
        <v>NO</v>
      </c>
      <c r="S224" s="347" t="str">
        <f t="shared" si="18"/>
        <v>Inviable Sanitariamente</v>
      </c>
      <c r="T224" s="16"/>
    </row>
    <row r="225" spans="1:20" ht="32.1" customHeight="1">
      <c r="A225" s="595" t="s">
        <v>164</v>
      </c>
      <c r="B225" s="595" t="s">
        <v>2013</v>
      </c>
      <c r="C225" s="598" t="s">
        <v>2014</v>
      </c>
      <c r="D225" s="304">
        <v>96</v>
      </c>
      <c r="E225" s="368"/>
      <c r="F225" s="368"/>
      <c r="G225" s="368"/>
      <c r="H225" s="368"/>
      <c r="I225" s="368"/>
      <c r="J225" s="368"/>
      <c r="K225" s="368"/>
      <c r="L225" s="368"/>
      <c r="M225" s="368"/>
      <c r="N225" s="368"/>
      <c r="O225" s="368">
        <v>97.34</v>
      </c>
      <c r="P225" s="368"/>
      <c r="Q225" s="620">
        <f t="shared" si="17"/>
        <v>97.34</v>
      </c>
      <c r="R225" s="331" t="str">
        <f t="shared" si="16"/>
        <v>NO</v>
      </c>
      <c r="S225" s="347" t="str">
        <f t="shared" si="18"/>
        <v>Inviable Sanitariamente</v>
      </c>
      <c r="T225" s="16"/>
    </row>
    <row r="226" spans="1:20" ht="32.1" customHeight="1">
      <c r="A226" s="597" t="s">
        <v>164</v>
      </c>
      <c r="B226" s="595" t="s">
        <v>2015</v>
      </c>
      <c r="C226" s="598" t="s">
        <v>2016</v>
      </c>
      <c r="D226" s="346">
        <v>86</v>
      </c>
      <c r="E226" s="445"/>
      <c r="F226" s="445"/>
      <c r="G226" s="445">
        <v>96.4</v>
      </c>
      <c r="H226" s="445"/>
      <c r="I226" s="445"/>
      <c r="J226" s="445"/>
      <c r="K226" s="445"/>
      <c r="L226" s="445"/>
      <c r="M226" s="445"/>
      <c r="N226" s="445"/>
      <c r="O226" s="445"/>
      <c r="P226" s="445"/>
      <c r="Q226" s="620">
        <f t="shared" si="17"/>
        <v>96.4</v>
      </c>
      <c r="R226" s="331" t="str">
        <f t="shared" si="16"/>
        <v>NO</v>
      </c>
      <c r="S226" s="347" t="str">
        <f t="shared" si="18"/>
        <v>Inviable Sanitariamente</v>
      </c>
      <c r="T226" s="16"/>
    </row>
    <row r="227" spans="1:20" ht="32.1" customHeight="1">
      <c r="A227" s="597" t="s">
        <v>164</v>
      </c>
      <c r="B227" s="595" t="s">
        <v>2017</v>
      </c>
      <c r="C227" s="598" t="s">
        <v>2018</v>
      </c>
      <c r="D227" s="346">
        <v>124</v>
      </c>
      <c r="E227" s="445"/>
      <c r="F227" s="445">
        <v>0</v>
      </c>
      <c r="G227" s="632"/>
      <c r="H227" s="445"/>
      <c r="I227" s="445">
        <v>0</v>
      </c>
      <c r="J227" s="445"/>
      <c r="K227" s="445"/>
      <c r="L227" s="445"/>
      <c r="M227" s="445"/>
      <c r="N227" s="445"/>
      <c r="O227" s="445"/>
      <c r="P227" s="632"/>
      <c r="Q227" s="620">
        <f>AVERAGE(E227:O227)</f>
        <v>0</v>
      </c>
      <c r="R227" s="331" t="str">
        <f t="shared" si="16"/>
        <v>SI</v>
      </c>
      <c r="S227" s="347" t="str">
        <f t="shared" si="18"/>
        <v>Sin Riesgo</v>
      </c>
      <c r="T227" s="16"/>
    </row>
    <row r="228" spans="1:20" ht="32.1" customHeight="1">
      <c r="A228" s="597" t="s">
        <v>164</v>
      </c>
      <c r="B228" s="595" t="s">
        <v>2019</v>
      </c>
      <c r="C228" s="598" t="s">
        <v>2020</v>
      </c>
      <c r="D228" s="399">
        <v>45</v>
      </c>
      <c r="E228" s="445"/>
      <c r="F228" s="445"/>
      <c r="G228" s="445"/>
      <c r="H228" s="445"/>
      <c r="I228" s="445">
        <v>70.8</v>
      </c>
      <c r="J228" s="445"/>
      <c r="K228" s="445"/>
      <c r="L228" s="445"/>
      <c r="M228" s="445"/>
      <c r="N228" s="445"/>
      <c r="O228" s="445"/>
      <c r="P228" s="445"/>
      <c r="Q228" s="620">
        <f>AVERAGE(E228:P228)</f>
        <v>70.8</v>
      </c>
      <c r="R228" s="331" t="str">
        <f t="shared" si="16"/>
        <v>NO</v>
      </c>
      <c r="S228" s="347" t="str">
        <f t="shared" si="18"/>
        <v>Alto</v>
      </c>
      <c r="T228" s="16"/>
    </row>
    <row r="229" spans="1:20" ht="32.1" customHeight="1">
      <c r="A229" s="597" t="s">
        <v>164</v>
      </c>
      <c r="B229" s="595" t="s">
        <v>2021</v>
      </c>
      <c r="C229" s="598" t="s">
        <v>2022</v>
      </c>
      <c r="D229" s="346">
        <v>64</v>
      </c>
      <c r="E229" s="445"/>
      <c r="F229" s="445">
        <v>96.4</v>
      </c>
      <c r="G229" s="445"/>
      <c r="H229" s="445"/>
      <c r="I229" s="445"/>
      <c r="J229" s="632"/>
      <c r="K229" s="445"/>
      <c r="L229" s="445"/>
      <c r="M229" s="445"/>
      <c r="N229" s="445"/>
      <c r="O229" s="445"/>
      <c r="P229" s="445"/>
      <c r="Q229" s="620">
        <f>AVERAGE(E229:P229)</f>
        <v>96.4</v>
      </c>
      <c r="R229" s="331" t="str">
        <f t="shared" si="16"/>
        <v>NO</v>
      </c>
      <c r="S229" s="347" t="str">
        <f t="shared" si="18"/>
        <v>Inviable Sanitariamente</v>
      </c>
      <c r="T229" s="16"/>
    </row>
    <row r="230" spans="1:20" ht="32.1" customHeight="1">
      <c r="A230" s="595" t="s">
        <v>164</v>
      </c>
      <c r="B230" s="595" t="s">
        <v>2023</v>
      </c>
      <c r="C230" s="598" t="s">
        <v>2024</v>
      </c>
      <c r="D230" s="345">
        <v>51</v>
      </c>
      <c r="E230" s="368"/>
      <c r="F230" s="368"/>
      <c r="G230" s="368"/>
      <c r="H230" s="368"/>
      <c r="I230" s="368"/>
      <c r="J230" s="368">
        <v>0</v>
      </c>
      <c r="K230" s="368"/>
      <c r="L230" s="368"/>
      <c r="M230" s="368"/>
      <c r="N230" s="368"/>
      <c r="O230" s="368"/>
      <c r="P230" s="368"/>
      <c r="Q230" s="620">
        <f>AVERAGE(E230:P230)</f>
        <v>0</v>
      </c>
      <c r="R230" s="331" t="str">
        <f t="shared" si="16"/>
        <v>SI</v>
      </c>
      <c r="S230" s="347" t="str">
        <f t="shared" si="18"/>
        <v>Sin Riesgo</v>
      </c>
      <c r="T230" s="16"/>
    </row>
    <row r="231" spans="1:20" ht="32.1" customHeight="1">
      <c r="A231" s="597" t="s">
        <v>164</v>
      </c>
      <c r="B231" s="595" t="s">
        <v>1150</v>
      </c>
      <c r="C231" s="598" t="s">
        <v>2025</v>
      </c>
      <c r="D231" s="346">
        <v>46</v>
      </c>
      <c r="E231" s="445"/>
      <c r="F231" s="445">
        <v>0</v>
      </c>
      <c r="G231" s="445"/>
      <c r="H231" s="445"/>
      <c r="I231" s="643"/>
      <c r="J231" s="445"/>
      <c r="K231" s="445"/>
      <c r="L231" s="445"/>
      <c r="M231" s="445"/>
      <c r="N231" s="445"/>
      <c r="O231" s="445"/>
      <c r="P231" s="643"/>
      <c r="Q231" s="620">
        <f>AVERAGE(E231:O231)</f>
        <v>0</v>
      </c>
      <c r="R231" s="331" t="str">
        <f t="shared" si="16"/>
        <v>SI</v>
      </c>
      <c r="S231" s="347" t="str">
        <f t="shared" si="18"/>
        <v>Sin Riesgo</v>
      </c>
      <c r="T231" s="16"/>
    </row>
    <row r="232" spans="1:20" ht="32.1" customHeight="1">
      <c r="A232" s="595" t="s">
        <v>164</v>
      </c>
      <c r="B232" s="595" t="s">
        <v>2026</v>
      </c>
      <c r="C232" s="598" t="s">
        <v>2027</v>
      </c>
      <c r="D232" s="345">
        <v>136</v>
      </c>
      <c r="E232" s="368"/>
      <c r="F232" s="368"/>
      <c r="G232" s="368"/>
      <c r="H232" s="368"/>
      <c r="I232" s="368"/>
      <c r="J232" s="368">
        <v>0</v>
      </c>
      <c r="K232" s="368"/>
      <c r="L232" s="368"/>
      <c r="M232" s="368"/>
      <c r="N232" s="368"/>
      <c r="O232" s="368"/>
      <c r="P232" s="368"/>
      <c r="Q232" s="620">
        <f t="shared" ref="Q232:Q239" si="19">AVERAGE(E232:P232)</f>
        <v>0</v>
      </c>
      <c r="R232" s="331" t="str">
        <f t="shared" si="16"/>
        <v>SI</v>
      </c>
      <c r="S232" s="347" t="str">
        <f t="shared" si="18"/>
        <v>Sin Riesgo</v>
      </c>
      <c r="T232" s="16"/>
    </row>
    <row r="233" spans="1:20" ht="32.1" customHeight="1">
      <c r="A233" s="595" t="s">
        <v>164</v>
      </c>
      <c r="B233" s="595" t="s">
        <v>2028</v>
      </c>
      <c r="C233" s="598" t="s">
        <v>2029</v>
      </c>
      <c r="D233" s="345">
        <v>60</v>
      </c>
      <c r="E233" s="368"/>
      <c r="F233" s="368"/>
      <c r="G233" s="368"/>
      <c r="H233" s="368"/>
      <c r="I233" s="368"/>
      <c r="J233" s="368">
        <v>0</v>
      </c>
      <c r="K233" s="368"/>
      <c r="L233" s="368"/>
      <c r="M233" s="368"/>
      <c r="N233" s="368"/>
      <c r="O233" s="368"/>
      <c r="P233" s="368"/>
      <c r="Q233" s="620">
        <f t="shared" si="19"/>
        <v>0</v>
      </c>
      <c r="R233" s="331" t="str">
        <f t="shared" si="16"/>
        <v>SI</v>
      </c>
      <c r="S233" s="347" t="str">
        <f t="shared" si="18"/>
        <v>Sin Riesgo</v>
      </c>
      <c r="T233" s="16"/>
    </row>
    <row r="234" spans="1:20" ht="32.1" customHeight="1">
      <c r="A234" s="595" t="s">
        <v>164</v>
      </c>
      <c r="B234" s="595" t="s">
        <v>2030</v>
      </c>
      <c r="C234" s="598" t="s">
        <v>2031</v>
      </c>
      <c r="D234" s="345">
        <v>142</v>
      </c>
      <c r="E234" s="368"/>
      <c r="F234" s="368"/>
      <c r="G234" s="368"/>
      <c r="H234" s="368"/>
      <c r="I234" s="368"/>
      <c r="J234" s="368">
        <v>0</v>
      </c>
      <c r="K234" s="368"/>
      <c r="L234" s="368"/>
      <c r="M234" s="368"/>
      <c r="N234" s="368"/>
      <c r="O234" s="368"/>
      <c r="P234" s="368"/>
      <c r="Q234" s="620">
        <f t="shared" si="19"/>
        <v>0</v>
      </c>
      <c r="R234" s="331" t="str">
        <f t="shared" si="16"/>
        <v>SI</v>
      </c>
      <c r="S234" s="347" t="str">
        <f t="shared" si="18"/>
        <v>Sin Riesgo</v>
      </c>
      <c r="T234" s="16"/>
    </row>
    <row r="235" spans="1:20" ht="32.1" customHeight="1">
      <c r="A235" s="595" t="s">
        <v>164</v>
      </c>
      <c r="B235" s="595" t="s">
        <v>2032</v>
      </c>
      <c r="C235" s="598" t="s">
        <v>2033</v>
      </c>
      <c r="D235" s="345">
        <v>81</v>
      </c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>
        <v>97.34</v>
      </c>
      <c r="Q235" s="620">
        <f t="shared" si="19"/>
        <v>97.34</v>
      </c>
      <c r="R235" s="331" t="str">
        <f t="shared" si="16"/>
        <v>NO</v>
      </c>
      <c r="S235" s="347" t="str">
        <f t="shared" si="18"/>
        <v>Inviable Sanitariamente</v>
      </c>
      <c r="T235" s="16"/>
    </row>
    <row r="236" spans="1:20" ht="32.1" customHeight="1">
      <c r="A236" s="595" t="s">
        <v>164</v>
      </c>
      <c r="B236" s="595" t="s">
        <v>1997</v>
      </c>
      <c r="C236" s="598" t="s">
        <v>2034</v>
      </c>
      <c r="D236" s="345">
        <v>141</v>
      </c>
      <c r="E236" s="368"/>
      <c r="F236" s="368"/>
      <c r="G236" s="368"/>
      <c r="H236" s="368"/>
      <c r="I236" s="368"/>
      <c r="J236" s="368"/>
      <c r="K236" s="368"/>
      <c r="L236" s="368"/>
      <c r="M236" s="368"/>
      <c r="N236" s="368"/>
      <c r="O236" s="368">
        <v>97.34</v>
      </c>
      <c r="P236" s="368"/>
      <c r="Q236" s="620">
        <f t="shared" si="19"/>
        <v>97.34</v>
      </c>
      <c r="R236" s="331" t="str">
        <f t="shared" si="16"/>
        <v>NO</v>
      </c>
      <c r="S236" s="347" t="str">
        <f t="shared" si="18"/>
        <v>Inviable Sanitariamente</v>
      </c>
      <c r="T236" s="16"/>
    </row>
    <row r="237" spans="1:20" ht="32.1" customHeight="1">
      <c r="A237" s="595" t="s">
        <v>164</v>
      </c>
      <c r="B237" s="595" t="s">
        <v>2035</v>
      </c>
      <c r="C237" s="598" t="s">
        <v>2036</v>
      </c>
      <c r="D237" s="345">
        <v>38</v>
      </c>
      <c r="E237" s="368"/>
      <c r="F237" s="368">
        <v>26.5</v>
      </c>
      <c r="G237" s="368"/>
      <c r="H237" s="368"/>
      <c r="I237" s="368"/>
      <c r="J237" s="368"/>
      <c r="K237" s="368"/>
      <c r="L237" s="368"/>
      <c r="M237" s="368"/>
      <c r="N237" s="368"/>
      <c r="O237" s="368"/>
      <c r="P237" s="368"/>
      <c r="Q237" s="620">
        <f t="shared" si="19"/>
        <v>26.5</v>
      </c>
      <c r="R237" s="331" t="str">
        <f t="shared" si="16"/>
        <v>NO</v>
      </c>
      <c r="S237" s="347" t="str">
        <f t="shared" si="18"/>
        <v>Medio</v>
      </c>
      <c r="T237" s="16"/>
    </row>
    <row r="238" spans="1:20" ht="32.1" customHeight="1">
      <c r="A238" s="595" t="s">
        <v>164</v>
      </c>
      <c r="B238" s="595" t="s">
        <v>2037</v>
      </c>
      <c r="C238" s="606" t="s">
        <v>2038</v>
      </c>
      <c r="D238" s="345">
        <v>70</v>
      </c>
      <c r="E238" s="368"/>
      <c r="F238" s="368">
        <v>97.34</v>
      </c>
      <c r="G238" s="368"/>
      <c r="H238" s="368"/>
      <c r="I238" s="368"/>
      <c r="J238" s="368"/>
      <c r="K238" s="368"/>
      <c r="L238" s="368"/>
      <c r="M238" s="368"/>
      <c r="N238" s="368"/>
      <c r="O238" s="368"/>
      <c r="P238" s="368"/>
      <c r="Q238" s="620">
        <f t="shared" si="19"/>
        <v>97.34</v>
      </c>
      <c r="R238" s="331" t="str">
        <f t="shared" si="16"/>
        <v>NO</v>
      </c>
      <c r="S238" s="347" t="str">
        <f t="shared" si="18"/>
        <v>Inviable Sanitariamente</v>
      </c>
      <c r="T238" s="16"/>
    </row>
    <row r="239" spans="1:20" ht="32.1" customHeight="1">
      <c r="A239" s="595" t="s">
        <v>164</v>
      </c>
      <c r="B239" s="595" t="s">
        <v>2039</v>
      </c>
      <c r="C239" s="596" t="s">
        <v>2040</v>
      </c>
      <c r="D239" s="345">
        <v>50</v>
      </c>
      <c r="E239" s="368"/>
      <c r="F239" s="368"/>
      <c r="G239" s="368"/>
      <c r="H239" s="368"/>
      <c r="I239" s="368"/>
      <c r="J239" s="368"/>
      <c r="K239" s="368"/>
      <c r="L239" s="368"/>
      <c r="M239" s="368">
        <v>97.34</v>
      </c>
      <c r="N239" s="368"/>
      <c r="O239" s="368"/>
      <c r="P239" s="368"/>
      <c r="Q239" s="620">
        <f t="shared" si="19"/>
        <v>97.34</v>
      </c>
      <c r="R239" s="331" t="str">
        <f t="shared" si="16"/>
        <v>NO</v>
      </c>
      <c r="S239" s="347" t="str">
        <f t="shared" si="18"/>
        <v>Inviable Sanitariamente</v>
      </c>
      <c r="T239" s="16"/>
    </row>
    <row r="240" spans="1:20" ht="32.1" customHeight="1">
      <c r="A240" s="452" t="s">
        <v>164</v>
      </c>
      <c r="B240" s="344" t="s">
        <v>2041</v>
      </c>
      <c r="C240" s="349" t="s">
        <v>2042</v>
      </c>
      <c r="D240" s="346">
        <v>26</v>
      </c>
      <c r="E240" s="445"/>
      <c r="F240" s="445"/>
      <c r="G240" s="445"/>
      <c r="H240" s="445"/>
      <c r="I240" s="445">
        <v>70.8</v>
      </c>
      <c r="J240" s="445"/>
      <c r="K240" s="445"/>
      <c r="L240" s="445"/>
      <c r="M240" s="445"/>
      <c r="N240" s="445"/>
      <c r="O240" s="445"/>
      <c r="P240" s="445"/>
      <c r="Q240" s="620">
        <f>AVERAGE(E240:O240)</f>
        <v>70.8</v>
      </c>
      <c r="R240" s="331" t="str">
        <f t="shared" ref="R240:R303" si="20">IF(Q240&lt;5,"SI","NO")</f>
        <v>NO</v>
      </c>
      <c r="S240" s="347" t="str">
        <f t="shared" si="18"/>
        <v>Alto</v>
      </c>
      <c r="T240" s="16"/>
    </row>
    <row r="241" spans="1:20" ht="32.1" customHeight="1">
      <c r="A241" s="452" t="s">
        <v>164</v>
      </c>
      <c r="B241" s="344" t="s">
        <v>2043</v>
      </c>
      <c r="C241" s="349" t="s">
        <v>2044</v>
      </c>
      <c r="D241" s="346">
        <v>44</v>
      </c>
      <c r="E241" s="445"/>
      <c r="F241" s="445"/>
      <c r="G241" s="445">
        <v>96.4</v>
      </c>
      <c r="H241" s="445"/>
      <c r="I241" s="445"/>
      <c r="J241" s="445"/>
      <c r="K241" s="445"/>
      <c r="L241" s="445"/>
      <c r="M241" s="445"/>
      <c r="N241" s="445"/>
      <c r="O241" s="445"/>
      <c r="P241" s="445"/>
      <c r="Q241" s="620">
        <f t="shared" ref="Q241:Q304" si="21">AVERAGE(E241:P241)</f>
        <v>96.4</v>
      </c>
      <c r="R241" s="331" t="str">
        <f t="shared" si="20"/>
        <v>NO</v>
      </c>
      <c r="S241" s="347" t="str">
        <f t="shared" si="18"/>
        <v>Inviable Sanitariamente</v>
      </c>
      <c r="T241" s="16"/>
    </row>
    <row r="242" spans="1:20" ht="32.1" customHeight="1">
      <c r="A242" s="452" t="s">
        <v>164</v>
      </c>
      <c r="B242" s="344" t="s">
        <v>4007</v>
      </c>
      <c r="C242" s="349" t="s">
        <v>4008</v>
      </c>
      <c r="D242" s="346">
        <v>75</v>
      </c>
      <c r="E242" s="445"/>
      <c r="F242" s="445"/>
      <c r="G242" s="445">
        <v>0</v>
      </c>
      <c r="H242" s="445"/>
      <c r="I242" s="445"/>
      <c r="J242" s="445"/>
      <c r="K242" s="445"/>
      <c r="L242" s="445"/>
      <c r="M242" s="445"/>
      <c r="N242" s="445"/>
      <c r="O242" s="445"/>
      <c r="P242" s="445"/>
      <c r="Q242" s="620">
        <f>AVERAGE(E242:P242)</f>
        <v>0</v>
      </c>
      <c r="R242" s="331" t="str">
        <f>IF(Q242&lt;5,"SI","NO")</f>
        <v>SI</v>
      </c>
      <c r="S242" s="347" t="str">
        <f>IF(Q242&lt;5,"Sin Riesgo",IF(Q242 &lt;=14,"Bajo",IF(Q242&lt;=35,"Medio",IF(Q242&lt;=80,"Alto","Inviable Sanitariamente"))))</f>
        <v>Sin Riesgo</v>
      </c>
      <c r="T242" s="16"/>
    </row>
    <row r="243" spans="1:20" ht="32.1" customHeight="1">
      <c r="A243" s="452" t="s">
        <v>164</v>
      </c>
      <c r="B243" s="344" t="s">
        <v>2045</v>
      </c>
      <c r="C243" s="349" t="s">
        <v>4009</v>
      </c>
      <c r="D243" s="413">
        <v>36</v>
      </c>
      <c r="E243" s="445"/>
      <c r="F243" s="445"/>
      <c r="G243" s="445"/>
      <c r="H243" s="445"/>
      <c r="I243" s="445"/>
      <c r="J243" s="445">
        <v>0</v>
      </c>
      <c r="K243" s="445"/>
      <c r="L243" s="445"/>
      <c r="M243" s="445"/>
      <c r="N243" s="445"/>
      <c r="O243" s="445"/>
      <c r="P243" s="445"/>
      <c r="Q243" s="620">
        <f t="shared" si="21"/>
        <v>0</v>
      </c>
      <c r="R243" s="331" t="str">
        <f t="shared" si="20"/>
        <v>SI</v>
      </c>
      <c r="S243" s="347" t="str">
        <f t="shared" si="18"/>
        <v>Sin Riesgo</v>
      </c>
      <c r="T243" s="16"/>
    </row>
    <row r="244" spans="1:20" ht="32.1" customHeight="1">
      <c r="A244" s="595" t="s">
        <v>164</v>
      </c>
      <c r="B244" s="595" t="s">
        <v>2046</v>
      </c>
      <c r="C244" s="598" t="s">
        <v>2047</v>
      </c>
      <c r="D244" s="304">
        <v>45</v>
      </c>
      <c r="E244" s="368"/>
      <c r="F244" s="368"/>
      <c r="G244" s="368"/>
      <c r="H244" s="368"/>
      <c r="I244" s="368"/>
      <c r="J244" s="368"/>
      <c r="K244" s="368"/>
      <c r="L244" s="368"/>
      <c r="M244" s="368"/>
      <c r="N244" s="368"/>
      <c r="O244" s="368">
        <v>97.34</v>
      </c>
      <c r="P244" s="368"/>
      <c r="Q244" s="620">
        <f t="shared" si="21"/>
        <v>97.34</v>
      </c>
      <c r="R244" s="331" t="str">
        <f t="shared" si="20"/>
        <v>NO</v>
      </c>
      <c r="S244" s="347" t="str">
        <f t="shared" si="18"/>
        <v>Inviable Sanitariamente</v>
      </c>
      <c r="T244" s="16"/>
    </row>
    <row r="245" spans="1:20" ht="32.1" customHeight="1">
      <c r="A245" s="595" t="s">
        <v>164</v>
      </c>
      <c r="B245" s="595" t="s">
        <v>2048</v>
      </c>
      <c r="C245" s="598" t="s">
        <v>2049</v>
      </c>
      <c r="D245" s="304">
        <v>60</v>
      </c>
      <c r="E245" s="368"/>
      <c r="F245" s="368"/>
      <c r="G245" s="368"/>
      <c r="H245" s="368"/>
      <c r="I245" s="368"/>
      <c r="J245" s="368"/>
      <c r="K245" s="368"/>
      <c r="L245" s="368"/>
      <c r="M245" s="368"/>
      <c r="N245" s="368">
        <v>97.34</v>
      </c>
      <c r="O245" s="368"/>
      <c r="P245" s="368"/>
      <c r="Q245" s="620">
        <f t="shared" si="21"/>
        <v>97.34</v>
      </c>
      <c r="R245" s="331" t="str">
        <f t="shared" si="20"/>
        <v>NO</v>
      </c>
      <c r="S245" s="347" t="str">
        <f t="shared" si="18"/>
        <v>Inviable Sanitariamente</v>
      </c>
      <c r="T245" s="16"/>
    </row>
    <row r="246" spans="1:20" ht="32.1" customHeight="1">
      <c r="A246" s="595" t="s">
        <v>164</v>
      </c>
      <c r="B246" s="595" t="s">
        <v>2050</v>
      </c>
      <c r="C246" s="598" t="s">
        <v>2051</v>
      </c>
      <c r="D246" s="304">
        <v>85</v>
      </c>
      <c r="E246" s="368"/>
      <c r="F246" s="368">
        <v>97.34</v>
      </c>
      <c r="G246" s="368"/>
      <c r="H246" s="368"/>
      <c r="I246" s="368"/>
      <c r="J246" s="368"/>
      <c r="K246" s="368"/>
      <c r="L246" s="368"/>
      <c r="M246" s="368"/>
      <c r="N246" s="368"/>
      <c r="O246" s="368"/>
      <c r="P246" s="368"/>
      <c r="Q246" s="620">
        <f t="shared" si="21"/>
        <v>97.34</v>
      </c>
      <c r="R246" s="331" t="str">
        <f t="shared" si="20"/>
        <v>NO</v>
      </c>
      <c r="S246" s="347" t="str">
        <f t="shared" si="18"/>
        <v>Inviable Sanitariamente</v>
      </c>
      <c r="T246" s="16"/>
    </row>
    <row r="247" spans="1:20" ht="32.1" customHeight="1">
      <c r="A247" s="597" t="s">
        <v>164</v>
      </c>
      <c r="B247" s="595" t="s">
        <v>2052</v>
      </c>
      <c r="C247" s="598" t="s">
        <v>2053</v>
      </c>
      <c r="D247" s="346">
        <v>110</v>
      </c>
      <c r="E247" s="445"/>
      <c r="F247" s="445"/>
      <c r="G247" s="445"/>
      <c r="H247" s="445"/>
      <c r="I247" s="445">
        <v>96.4</v>
      </c>
      <c r="J247" s="445"/>
      <c r="K247" s="445"/>
      <c r="L247" s="445"/>
      <c r="M247" s="445"/>
      <c r="N247" s="445"/>
      <c r="O247" s="445"/>
      <c r="P247" s="445"/>
      <c r="Q247" s="620">
        <f t="shared" si="21"/>
        <v>96.4</v>
      </c>
      <c r="R247" s="331" t="str">
        <f t="shared" si="20"/>
        <v>NO</v>
      </c>
      <c r="S247" s="347" t="str">
        <f t="shared" si="18"/>
        <v>Inviable Sanitariamente</v>
      </c>
      <c r="T247" s="16"/>
    </row>
    <row r="248" spans="1:20" ht="32.1" customHeight="1">
      <c r="A248" s="595" t="s">
        <v>164</v>
      </c>
      <c r="B248" s="595" t="s">
        <v>1102</v>
      </c>
      <c r="C248" s="598" t="s">
        <v>2054</v>
      </c>
      <c r="D248" s="304">
        <v>38</v>
      </c>
      <c r="E248" s="368"/>
      <c r="F248" s="368">
        <v>97.34</v>
      </c>
      <c r="G248" s="368"/>
      <c r="H248" s="368"/>
      <c r="I248" s="368"/>
      <c r="J248" s="368"/>
      <c r="K248" s="368"/>
      <c r="L248" s="368"/>
      <c r="M248" s="368"/>
      <c r="N248" s="368"/>
      <c r="O248" s="368"/>
      <c r="P248" s="368"/>
      <c r="Q248" s="620">
        <f t="shared" si="21"/>
        <v>97.34</v>
      </c>
      <c r="R248" s="331" t="str">
        <f t="shared" si="20"/>
        <v>NO</v>
      </c>
      <c r="S248" s="347" t="str">
        <f t="shared" si="18"/>
        <v>Inviable Sanitariamente</v>
      </c>
      <c r="T248" s="16"/>
    </row>
    <row r="249" spans="1:20" ht="32.1" customHeight="1">
      <c r="A249" s="597" t="s">
        <v>164</v>
      </c>
      <c r="B249" s="595" t="s">
        <v>1368</v>
      </c>
      <c r="C249" s="598" t="s">
        <v>2055</v>
      </c>
      <c r="D249" s="346">
        <v>121</v>
      </c>
      <c r="E249" s="445"/>
      <c r="F249" s="445">
        <v>0</v>
      </c>
      <c r="G249" s="445"/>
      <c r="H249" s="445"/>
      <c r="I249" s="445"/>
      <c r="J249" s="445"/>
      <c r="K249" s="445"/>
      <c r="L249" s="445"/>
      <c r="M249" s="445"/>
      <c r="N249" s="445"/>
      <c r="O249" s="445"/>
      <c r="P249" s="445"/>
      <c r="Q249" s="620">
        <f t="shared" si="21"/>
        <v>0</v>
      </c>
      <c r="R249" s="331" t="str">
        <f t="shared" si="20"/>
        <v>SI</v>
      </c>
      <c r="S249" s="347" t="str">
        <f t="shared" si="18"/>
        <v>Sin Riesgo</v>
      </c>
      <c r="T249" s="16"/>
    </row>
    <row r="250" spans="1:20" ht="32.1" customHeight="1">
      <c r="A250" s="595" t="s">
        <v>164</v>
      </c>
      <c r="B250" s="595" t="s">
        <v>614</v>
      </c>
      <c r="C250" s="598" t="s">
        <v>2056</v>
      </c>
      <c r="D250" s="304">
        <v>90</v>
      </c>
      <c r="E250" s="368"/>
      <c r="F250" s="368">
        <v>0</v>
      </c>
      <c r="G250" s="368"/>
      <c r="H250" s="368"/>
      <c r="I250" s="368">
        <v>0</v>
      </c>
      <c r="J250" s="368"/>
      <c r="K250" s="368"/>
      <c r="L250" s="368"/>
      <c r="M250" s="368"/>
      <c r="N250" s="368"/>
      <c r="O250" s="368"/>
      <c r="P250" s="368"/>
      <c r="Q250" s="620">
        <f t="shared" si="21"/>
        <v>0</v>
      </c>
      <c r="R250" s="331" t="str">
        <f t="shared" si="20"/>
        <v>SI</v>
      </c>
      <c r="S250" s="347" t="str">
        <f t="shared" si="18"/>
        <v>Sin Riesgo</v>
      </c>
      <c r="T250" s="16"/>
    </row>
    <row r="251" spans="1:20" ht="32.1" customHeight="1">
      <c r="A251" s="452" t="s">
        <v>165</v>
      </c>
      <c r="B251" s="344" t="s">
        <v>2057</v>
      </c>
      <c r="C251" s="349" t="s">
        <v>2058</v>
      </c>
      <c r="D251" s="418">
        <v>40</v>
      </c>
      <c r="E251" s="641"/>
      <c r="F251" s="641"/>
      <c r="G251" s="641"/>
      <c r="H251" s="641"/>
      <c r="I251" s="641">
        <v>96.39</v>
      </c>
      <c r="J251" s="641"/>
      <c r="K251" s="641"/>
      <c r="L251" s="641"/>
      <c r="M251" s="641"/>
      <c r="N251" s="641"/>
      <c r="O251" s="641"/>
      <c r="P251" s="641">
        <v>96.39</v>
      </c>
      <c r="Q251" s="620">
        <f t="shared" si="21"/>
        <v>96.39</v>
      </c>
      <c r="R251" s="331" t="str">
        <f t="shared" si="20"/>
        <v>NO</v>
      </c>
      <c r="S251" s="347" t="str">
        <f t="shared" si="18"/>
        <v>Inviable Sanitariamente</v>
      </c>
      <c r="T251" s="16"/>
    </row>
    <row r="252" spans="1:20" ht="32.1" customHeight="1">
      <c r="A252" s="452" t="s">
        <v>165</v>
      </c>
      <c r="B252" s="344" t="s">
        <v>2059</v>
      </c>
      <c r="C252" s="349" t="s">
        <v>2060</v>
      </c>
      <c r="D252" s="418">
        <v>37</v>
      </c>
      <c r="E252" s="641"/>
      <c r="F252" s="641"/>
      <c r="G252" s="641"/>
      <c r="H252" s="641"/>
      <c r="I252" s="641">
        <v>96.39</v>
      </c>
      <c r="J252" s="641"/>
      <c r="K252" s="641"/>
      <c r="L252" s="641"/>
      <c r="M252" s="641"/>
      <c r="N252" s="641"/>
      <c r="O252" s="641"/>
      <c r="P252" s="641">
        <v>96.39</v>
      </c>
      <c r="Q252" s="620">
        <f t="shared" si="21"/>
        <v>96.39</v>
      </c>
      <c r="R252" s="331" t="str">
        <f t="shared" si="20"/>
        <v>NO</v>
      </c>
      <c r="S252" s="347" t="str">
        <f t="shared" si="18"/>
        <v>Inviable Sanitariamente</v>
      </c>
      <c r="T252" s="16"/>
    </row>
    <row r="253" spans="1:20" ht="32.1" customHeight="1">
      <c r="A253" s="452" t="s">
        <v>165</v>
      </c>
      <c r="B253" s="344" t="s">
        <v>2061</v>
      </c>
      <c r="C253" s="349" t="s">
        <v>2062</v>
      </c>
      <c r="D253" s="418">
        <v>35</v>
      </c>
      <c r="E253" s="641"/>
      <c r="F253" s="641"/>
      <c r="G253" s="641"/>
      <c r="H253" s="641"/>
      <c r="I253" s="641">
        <v>96.39</v>
      </c>
      <c r="J253" s="641"/>
      <c r="K253" s="641"/>
      <c r="L253" s="641"/>
      <c r="M253" s="641"/>
      <c r="N253" s="641"/>
      <c r="O253" s="641"/>
      <c r="P253" s="641">
        <v>96.39</v>
      </c>
      <c r="Q253" s="620">
        <f t="shared" si="21"/>
        <v>96.39</v>
      </c>
      <c r="R253" s="331" t="str">
        <f t="shared" si="20"/>
        <v>NO</v>
      </c>
      <c r="S253" s="347" t="str">
        <f t="shared" si="18"/>
        <v>Inviable Sanitariamente</v>
      </c>
      <c r="T253" s="16"/>
    </row>
    <row r="254" spans="1:20" ht="32.1" customHeight="1">
      <c r="A254" s="452" t="s">
        <v>165</v>
      </c>
      <c r="B254" s="344" t="s">
        <v>2063</v>
      </c>
      <c r="C254" s="349" t="s">
        <v>2064</v>
      </c>
      <c r="D254" s="418">
        <v>29</v>
      </c>
      <c r="E254" s="641"/>
      <c r="F254" s="641"/>
      <c r="G254" s="641"/>
      <c r="H254" s="641"/>
      <c r="I254" s="641">
        <v>96.39</v>
      </c>
      <c r="J254" s="641"/>
      <c r="K254" s="641"/>
      <c r="L254" s="641"/>
      <c r="M254" s="641"/>
      <c r="N254" s="641"/>
      <c r="O254" s="641"/>
      <c r="P254" s="641">
        <v>96.39</v>
      </c>
      <c r="Q254" s="620">
        <f t="shared" si="21"/>
        <v>96.39</v>
      </c>
      <c r="R254" s="331" t="str">
        <f t="shared" si="20"/>
        <v>NO</v>
      </c>
      <c r="S254" s="347" t="str">
        <f t="shared" si="18"/>
        <v>Inviable Sanitariamente</v>
      </c>
      <c r="T254" s="16"/>
    </row>
    <row r="255" spans="1:20" ht="32.1" customHeight="1">
      <c r="A255" s="452" t="s">
        <v>165</v>
      </c>
      <c r="B255" s="344" t="s">
        <v>2065</v>
      </c>
      <c r="C255" s="349" t="s">
        <v>2066</v>
      </c>
      <c r="D255" s="418">
        <v>11</v>
      </c>
      <c r="E255" s="641"/>
      <c r="F255" s="641">
        <v>96.39</v>
      </c>
      <c r="G255" s="641"/>
      <c r="H255" s="641"/>
      <c r="I255" s="641">
        <v>36.14</v>
      </c>
      <c r="J255" s="641"/>
      <c r="K255" s="641"/>
      <c r="L255" s="641"/>
      <c r="M255" s="641"/>
      <c r="N255" s="641"/>
      <c r="O255" s="641"/>
      <c r="P255" s="641">
        <v>0</v>
      </c>
      <c r="Q255" s="620">
        <f t="shared" si="21"/>
        <v>44.176666666666669</v>
      </c>
      <c r="R255" s="331" t="str">
        <f t="shared" si="20"/>
        <v>NO</v>
      </c>
      <c r="S255" s="347" t="str">
        <f t="shared" si="18"/>
        <v>Alto</v>
      </c>
      <c r="T255" s="16"/>
    </row>
    <row r="256" spans="1:20" ht="32.1" customHeight="1">
      <c r="A256" s="452" t="s">
        <v>165</v>
      </c>
      <c r="B256" s="344" t="s">
        <v>2067</v>
      </c>
      <c r="C256" s="349" t="s">
        <v>2068</v>
      </c>
      <c r="D256" s="418">
        <v>35</v>
      </c>
      <c r="E256" s="641"/>
      <c r="F256" s="641">
        <v>96.39</v>
      </c>
      <c r="G256" s="641"/>
      <c r="H256" s="641"/>
      <c r="I256" s="641">
        <v>0</v>
      </c>
      <c r="J256" s="641"/>
      <c r="K256" s="641"/>
      <c r="L256" s="641"/>
      <c r="M256" s="641"/>
      <c r="N256" s="641"/>
      <c r="O256" s="641"/>
      <c r="P256" s="641"/>
      <c r="Q256" s="620">
        <f t="shared" si="21"/>
        <v>48.195</v>
      </c>
      <c r="R256" s="331" t="str">
        <f t="shared" si="20"/>
        <v>NO</v>
      </c>
      <c r="S256" s="347" t="str">
        <f t="shared" si="18"/>
        <v>Alto</v>
      </c>
      <c r="T256" s="16"/>
    </row>
    <row r="257" spans="1:20" ht="32.1" customHeight="1">
      <c r="A257" s="452" t="s">
        <v>165</v>
      </c>
      <c r="B257" s="344" t="s">
        <v>2069</v>
      </c>
      <c r="C257" s="349" t="s">
        <v>2070</v>
      </c>
      <c r="D257" s="418">
        <v>32</v>
      </c>
      <c r="E257" s="641"/>
      <c r="F257" s="641">
        <v>96.39</v>
      </c>
      <c r="G257" s="641"/>
      <c r="H257" s="641"/>
      <c r="I257" s="641">
        <v>0</v>
      </c>
      <c r="J257" s="641"/>
      <c r="K257" s="641"/>
      <c r="L257" s="641"/>
      <c r="M257" s="641"/>
      <c r="N257" s="641"/>
      <c r="O257" s="641"/>
      <c r="P257" s="641"/>
      <c r="Q257" s="620">
        <f t="shared" si="21"/>
        <v>48.195</v>
      </c>
      <c r="R257" s="331" t="str">
        <f t="shared" si="20"/>
        <v>NO</v>
      </c>
      <c r="S257" s="347" t="str">
        <f t="shared" si="18"/>
        <v>Alto</v>
      </c>
      <c r="T257" s="16"/>
    </row>
    <row r="258" spans="1:20" ht="32.1" customHeight="1">
      <c r="A258" s="452" t="s">
        <v>165</v>
      </c>
      <c r="B258" s="344" t="s">
        <v>2071</v>
      </c>
      <c r="C258" s="349" t="s">
        <v>2072</v>
      </c>
      <c r="D258" s="419">
        <v>23</v>
      </c>
      <c r="E258" s="641"/>
      <c r="F258" s="641">
        <v>0</v>
      </c>
      <c r="G258" s="641"/>
      <c r="H258" s="641"/>
      <c r="I258" s="641">
        <v>0</v>
      </c>
      <c r="J258" s="641"/>
      <c r="K258" s="641"/>
      <c r="L258" s="641"/>
      <c r="M258" s="641"/>
      <c r="N258" s="641"/>
      <c r="O258" s="641"/>
      <c r="P258" s="641"/>
      <c r="Q258" s="620">
        <f t="shared" si="21"/>
        <v>0</v>
      </c>
      <c r="R258" s="331" t="str">
        <f t="shared" si="20"/>
        <v>SI</v>
      </c>
      <c r="S258" s="347" t="str">
        <f t="shared" si="18"/>
        <v>Sin Riesgo</v>
      </c>
      <c r="T258" s="16"/>
    </row>
    <row r="259" spans="1:20" ht="32.1" customHeight="1">
      <c r="A259" s="452" t="s">
        <v>165</v>
      </c>
      <c r="B259" s="344" t="s">
        <v>2073</v>
      </c>
      <c r="C259" s="349" t="s">
        <v>2074</v>
      </c>
      <c r="D259" s="418">
        <v>51</v>
      </c>
      <c r="E259" s="641"/>
      <c r="F259" s="641">
        <v>96.39</v>
      </c>
      <c r="G259" s="641"/>
      <c r="H259" s="641"/>
      <c r="I259" s="641">
        <v>0</v>
      </c>
      <c r="J259" s="641"/>
      <c r="K259" s="641"/>
      <c r="L259" s="641"/>
      <c r="M259" s="641"/>
      <c r="N259" s="641"/>
      <c r="O259" s="641"/>
      <c r="P259" s="641"/>
      <c r="Q259" s="620">
        <f t="shared" si="21"/>
        <v>48.195</v>
      </c>
      <c r="R259" s="331" t="str">
        <f t="shared" si="20"/>
        <v>NO</v>
      </c>
      <c r="S259" s="347" t="str">
        <f t="shared" si="18"/>
        <v>Alto</v>
      </c>
      <c r="T259" s="16"/>
    </row>
    <row r="260" spans="1:20" ht="32.1" customHeight="1">
      <c r="A260" s="452" t="s">
        <v>166</v>
      </c>
      <c r="B260" s="344" t="s">
        <v>2075</v>
      </c>
      <c r="C260" s="349" t="s">
        <v>2076</v>
      </c>
      <c r="D260" s="418">
        <v>82</v>
      </c>
      <c r="E260" s="445"/>
      <c r="F260" s="445"/>
      <c r="G260" s="445"/>
      <c r="H260" s="445"/>
      <c r="I260" s="445"/>
      <c r="J260" s="445"/>
      <c r="K260" s="445"/>
      <c r="L260" s="445">
        <v>96.39</v>
      </c>
      <c r="M260" s="445"/>
      <c r="N260" s="445"/>
      <c r="O260" s="445"/>
      <c r="P260" s="445"/>
      <c r="Q260" s="620">
        <f t="shared" si="21"/>
        <v>96.39</v>
      </c>
      <c r="R260" s="331" t="str">
        <f t="shared" si="20"/>
        <v>NO</v>
      </c>
      <c r="S260" s="347" t="str">
        <f t="shared" si="18"/>
        <v>Inviable Sanitariamente</v>
      </c>
      <c r="T260" s="16"/>
    </row>
    <row r="261" spans="1:20" ht="32.1" customHeight="1">
      <c r="A261" s="452" t="s">
        <v>166</v>
      </c>
      <c r="B261" s="344" t="s">
        <v>2077</v>
      </c>
      <c r="C261" s="349" t="s">
        <v>2078</v>
      </c>
      <c r="D261" s="418">
        <v>167</v>
      </c>
      <c r="E261" s="445"/>
      <c r="F261" s="445"/>
      <c r="G261" s="445"/>
      <c r="H261" s="445"/>
      <c r="I261" s="445"/>
      <c r="J261" s="445"/>
      <c r="K261" s="445"/>
      <c r="L261" s="445"/>
      <c r="M261" s="445">
        <v>0</v>
      </c>
      <c r="N261" s="445"/>
      <c r="O261" s="445"/>
      <c r="P261" s="445"/>
      <c r="Q261" s="620">
        <f t="shared" si="21"/>
        <v>0</v>
      </c>
      <c r="R261" s="331" t="str">
        <f t="shared" si="20"/>
        <v>SI</v>
      </c>
      <c r="S261" s="347" t="str">
        <f t="shared" si="18"/>
        <v>Sin Riesgo</v>
      </c>
      <c r="T261" s="16"/>
    </row>
    <row r="262" spans="1:20" ht="32.1" customHeight="1">
      <c r="A262" s="452" t="s">
        <v>166</v>
      </c>
      <c r="B262" s="344" t="s">
        <v>2079</v>
      </c>
      <c r="C262" s="350" t="s">
        <v>2080</v>
      </c>
      <c r="D262" s="396">
        <v>24</v>
      </c>
      <c r="E262" s="445"/>
      <c r="F262" s="445"/>
      <c r="G262" s="445"/>
      <c r="H262" s="445"/>
      <c r="I262" s="445"/>
      <c r="J262" s="445"/>
      <c r="K262" s="445"/>
      <c r="L262" s="445">
        <v>0</v>
      </c>
      <c r="M262" s="445"/>
      <c r="N262" s="445"/>
      <c r="O262" s="445"/>
      <c r="P262" s="445"/>
      <c r="Q262" s="620">
        <f t="shared" si="21"/>
        <v>0</v>
      </c>
      <c r="R262" s="331" t="str">
        <f t="shared" si="20"/>
        <v>SI</v>
      </c>
      <c r="S262" s="347" t="str">
        <f t="shared" si="18"/>
        <v>Sin Riesgo</v>
      </c>
      <c r="T262" s="16"/>
    </row>
    <row r="263" spans="1:20" ht="32.1" customHeight="1">
      <c r="A263" s="595" t="s">
        <v>166</v>
      </c>
      <c r="B263" s="595" t="s">
        <v>2081</v>
      </c>
      <c r="C263" s="596" t="s">
        <v>2082</v>
      </c>
      <c r="D263" s="345">
        <v>8</v>
      </c>
      <c r="E263" s="368"/>
      <c r="F263" s="368">
        <v>97.3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620">
        <f t="shared" si="21"/>
        <v>97.3</v>
      </c>
      <c r="R263" s="331" t="str">
        <f t="shared" si="20"/>
        <v>NO</v>
      </c>
      <c r="S263" s="347" t="str">
        <f t="shared" si="18"/>
        <v>Inviable Sanitariamente</v>
      </c>
      <c r="T263" s="16"/>
    </row>
    <row r="264" spans="1:20" ht="32.1" customHeight="1">
      <c r="A264" s="595" t="s">
        <v>166</v>
      </c>
      <c r="B264" s="595" t="s">
        <v>267</v>
      </c>
      <c r="C264" s="598" t="s">
        <v>2083</v>
      </c>
      <c r="D264" s="345">
        <v>11</v>
      </c>
      <c r="E264" s="368"/>
      <c r="F264" s="368">
        <v>97.3</v>
      </c>
      <c r="G264" s="368"/>
      <c r="H264" s="368"/>
      <c r="I264" s="368"/>
      <c r="J264" s="368"/>
      <c r="K264" s="368"/>
      <c r="L264" s="368"/>
      <c r="M264" s="368"/>
      <c r="N264" s="368"/>
      <c r="O264" s="368"/>
      <c r="P264" s="368"/>
      <c r="Q264" s="620">
        <f t="shared" si="21"/>
        <v>97.3</v>
      </c>
      <c r="R264" s="355" t="str">
        <f t="shared" si="20"/>
        <v>NO</v>
      </c>
      <c r="S264" s="347" t="str">
        <f t="shared" si="18"/>
        <v>Inviable Sanitariamente</v>
      </c>
      <c r="T264" s="16"/>
    </row>
    <row r="265" spans="1:20" ht="32.1" customHeight="1">
      <c r="A265" s="595" t="s">
        <v>166</v>
      </c>
      <c r="B265" s="595" t="s">
        <v>2084</v>
      </c>
      <c r="C265" s="598" t="s">
        <v>2085</v>
      </c>
      <c r="D265" s="345">
        <v>11</v>
      </c>
      <c r="E265" s="368"/>
      <c r="F265" s="368">
        <v>97.3</v>
      </c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620">
        <f t="shared" si="21"/>
        <v>97.3</v>
      </c>
      <c r="R265" s="331" t="str">
        <f t="shared" si="20"/>
        <v>NO</v>
      </c>
      <c r="S265" s="347" t="str">
        <f t="shared" si="18"/>
        <v>Inviable Sanitariamente</v>
      </c>
      <c r="T265" s="16"/>
    </row>
    <row r="266" spans="1:20" ht="32.1" customHeight="1">
      <c r="A266" s="595" t="s">
        <v>166</v>
      </c>
      <c r="B266" s="595" t="s">
        <v>2086</v>
      </c>
      <c r="C266" s="598" t="s">
        <v>2087</v>
      </c>
      <c r="D266" s="345">
        <v>104</v>
      </c>
      <c r="E266" s="368"/>
      <c r="F266" s="368">
        <v>97.3</v>
      </c>
      <c r="G266" s="368"/>
      <c r="H266" s="368"/>
      <c r="I266" s="368"/>
      <c r="J266" s="368"/>
      <c r="K266" s="368"/>
      <c r="L266" s="368"/>
      <c r="M266" s="368"/>
      <c r="N266" s="368"/>
      <c r="O266" s="368"/>
      <c r="P266" s="368"/>
      <c r="Q266" s="620">
        <f t="shared" si="21"/>
        <v>97.3</v>
      </c>
      <c r="R266" s="331" t="str">
        <f t="shared" si="20"/>
        <v>NO</v>
      </c>
      <c r="S266" s="347" t="str">
        <f t="shared" si="18"/>
        <v>Inviable Sanitariamente</v>
      </c>
      <c r="T266" s="16"/>
    </row>
    <row r="267" spans="1:20" ht="32.1" customHeight="1">
      <c r="A267" s="452" t="s">
        <v>166</v>
      </c>
      <c r="B267" s="344" t="s">
        <v>2088</v>
      </c>
      <c r="C267" s="349" t="s">
        <v>2089</v>
      </c>
      <c r="D267" s="397">
        <v>84</v>
      </c>
      <c r="E267" s="445"/>
      <c r="F267" s="445"/>
      <c r="G267" s="445"/>
      <c r="H267" s="445"/>
      <c r="I267" s="445">
        <v>0</v>
      </c>
      <c r="J267" s="445"/>
      <c r="K267" s="445"/>
      <c r="L267" s="445"/>
      <c r="M267" s="445"/>
      <c r="N267" s="445"/>
      <c r="O267" s="445"/>
      <c r="P267" s="445"/>
      <c r="Q267" s="620">
        <f t="shared" si="21"/>
        <v>0</v>
      </c>
      <c r="R267" s="331" t="str">
        <f t="shared" si="20"/>
        <v>SI</v>
      </c>
      <c r="S267" s="347" t="str">
        <f t="shared" si="18"/>
        <v>Sin Riesgo</v>
      </c>
      <c r="T267" s="16"/>
    </row>
    <row r="268" spans="1:20" ht="32.1" customHeight="1">
      <c r="A268" s="452" t="s">
        <v>166</v>
      </c>
      <c r="B268" s="344" t="s">
        <v>2090</v>
      </c>
      <c r="C268" s="349" t="s">
        <v>2091</v>
      </c>
      <c r="D268" s="396">
        <v>7</v>
      </c>
      <c r="E268" s="445"/>
      <c r="F268" s="445"/>
      <c r="G268" s="445"/>
      <c r="H268" s="445"/>
      <c r="I268" s="445"/>
      <c r="J268" s="445"/>
      <c r="K268" s="445"/>
      <c r="L268" s="445">
        <v>0</v>
      </c>
      <c r="M268" s="445"/>
      <c r="N268" s="445"/>
      <c r="O268" s="445"/>
      <c r="P268" s="445"/>
      <c r="Q268" s="620">
        <f t="shared" si="21"/>
        <v>0</v>
      </c>
      <c r="R268" s="331" t="str">
        <f t="shared" si="20"/>
        <v>SI</v>
      </c>
      <c r="S268" s="347" t="str">
        <f t="shared" si="18"/>
        <v>Sin Riesgo</v>
      </c>
      <c r="T268" s="16"/>
    </row>
    <row r="269" spans="1:20" ht="32.1" customHeight="1">
      <c r="A269" s="452" t="s">
        <v>166</v>
      </c>
      <c r="B269" s="344" t="s">
        <v>2092</v>
      </c>
      <c r="C269" s="349" t="s">
        <v>2093</v>
      </c>
      <c r="D269" s="396">
        <v>108</v>
      </c>
      <c r="E269" s="445"/>
      <c r="F269" s="445"/>
      <c r="G269" s="445"/>
      <c r="H269" s="445"/>
      <c r="I269" s="445"/>
      <c r="J269" s="445"/>
      <c r="K269" s="445"/>
      <c r="L269" s="445"/>
      <c r="M269" s="445"/>
      <c r="N269" s="445">
        <v>0</v>
      </c>
      <c r="O269" s="445"/>
      <c r="P269" s="445"/>
      <c r="Q269" s="620">
        <f t="shared" si="21"/>
        <v>0</v>
      </c>
      <c r="R269" s="331" t="str">
        <f t="shared" si="20"/>
        <v>SI</v>
      </c>
      <c r="S269" s="347" t="str">
        <f t="shared" si="18"/>
        <v>Sin Riesgo</v>
      </c>
      <c r="T269" s="16"/>
    </row>
    <row r="270" spans="1:20" ht="32.1" customHeight="1">
      <c r="A270" s="452" t="s">
        <v>166</v>
      </c>
      <c r="B270" s="344" t="s">
        <v>2094</v>
      </c>
      <c r="C270" s="349" t="s">
        <v>2095</v>
      </c>
      <c r="D270" s="397">
        <v>77</v>
      </c>
      <c r="E270" s="445"/>
      <c r="F270" s="445"/>
      <c r="G270" s="445"/>
      <c r="H270" s="445"/>
      <c r="I270" s="445"/>
      <c r="J270" s="445">
        <v>0</v>
      </c>
      <c r="K270" s="445"/>
      <c r="L270" s="445"/>
      <c r="M270" s="445"/>
      <c r="N270" s="445"/>
      <c r="O270" s="445"/>
      <c r="P270" s="445"/>
      <c r="Q270" s="620">
        <f t="shared" si="21"/>
        <v>0</v>
      </c>
      <c r="R270" s="331" t="str">
        <f t="shared" si="20"/>
        <v>SI</v>
      </c>
      <c r="S270" s="347" t="str">
        <f t="shared" si="18"/>
        <v>Sin Riesgo</v>
      </c>
      <c r="T270" s="16"/>
    </row>
    <row r="271" spans="1:20" ht="32.1" customHeight="1">
      <c r="A271" s="452" t="s">
        <v>166</v>
      </c>
      <c r="B271" s="344" t="s">
        <v>2096</v>
      </c>
      <c r="C271" s="349" t="s">
        <v>2097</v>
      </c>
      <c r="D271" s="396">
        <v>98</v>
      </c>
      <c r="E271" s="445"/>
      <c r="F271" s="445"/>
      <c r="G271" s="445"/>
      <c r="H271" s="445"/>
      <c r="I271" s="445"/>
      <c r="J271" s="445"/>
      <c r="K271" s="445"/>
      <c r="L271" s="445"/>
      <c r="M271" s="445"/>
      <c r="N271" s="445"/>
      <c r="O271" s="445">
        <v>0</v>
      </c>
      <c r="P271" s="445"/>
      <c r="Q271" s="620">
        <f t="shared" si="21"/>
        <v>0</v>
      </c>
      <c r="R271" s="331" t="str">
        <f t="shared" si="20"/>
        <v>SI</v>
      </c>
      <c r="S271" s="347" t="str">
        <f t="shared" si="18"/>
        <v>Sin Riesgo</v>
      </c>
      <c r="T271" s="16"/>
    </row>
    <row r="272" spans="1:20" ht="32.1" customHeight="1">
      <c r="A272" s="452" t="s">
        <v>166</v>
      </c>
      <c r="B272" s="344" t="s">
        <v>2098</v>
      </c>
      <c r="C272" s="349" t="s">
        <v>2099</v>
      </c>
      <c r="D272" s="396">
        <v>218</v>
      </c>
      <c r="E272" s="445"/>
      <c r="F272" s="445"/>
      <c r="G272" s="445"/>
      <c r="H272" s="445"/>
      <c r="I272" s="445"/>
      <c r="J272" s="445">
        <v>0</v>
      </c>
      <c r="K272" s="445"/>
      <c r="L272" s="445"/>
      <c r="M272" s="445"/>
      <c r="N272" s="445"/>
      <c r="O272" s="445"/>
      <c r="P272" s="445"/>
      <c r="Q272" s="620">
        <f t="shared" si="21"/>
        <v>0</v>
      </c>
      <c r="R272" s="331" t="str">
        <f t="shared" si="20"/>
        <v>SI</v>
      </c>
      <c r="S272" s="347" t="str">
        <f t="shared" ref="S272:S333" si="22">IF(Q272&lt;5,"Sin Riesgo",IF(Q272 &lt;=14,"Bajo",IF(Q272&lt;=35,"Medio",IF(Q272&lt;=80,"Alto","Inviable Sanitariamente"))))</f>
        <v>Sin Riesgo</v>
      </c>
      <c r="T272" s="16"/>
    </row>
    <row r="273" spans="1:20" ht="32.1" customHeight="1">
      <c r="A273" s="452" t="s">
        <v>166</v>
      </c>
      <c r="B273" s="344" t="s">
        <v>2100</v>
      </c>
      <c r="C273" s="349" t="s">
        <v>2101</v>
      </c>
      <c r="D273" s="397">
        <v>90</v>
      </c>
      <c r="E273" s="445"/>
      <c r="F273" s="445"/>
      <c r="G273" s="445"/>
      <c r="H273" s="445"/>
      <c r="I273" s="445"/>
      <c r="J273" s="445"/>
      <c r="K273" s="445"/>
      <c r="L273" s="445"/>
      <c r="M273" s="445"/>
      <c r="N273" s="445">
        <v>0</v>
      </c>
      <c r="O273" s="445"/>
      <c r="P273" s="445"/>
      <c r="Q273" s="620">
        <f t="shared" si="21"/>
        <v>0</v>
      </c>
      <c r="R273" s="331" t="str">
        <f t="shared" si="20"/>
        <v>SI</v>
      </c>
      <c r="S273" s="347" t="str">
        <f t="shared" si="22"/>
        <v>Sin Riesgo</v>
      </c>
      <c r="T273" s="20"/>
    </row>
    <row r="274" spans="1:20" ht="32.1" customHeight="1">
      <c r="A274" s="452" t="s">
        <v>166</v>
      </c>
      <c r="B274" s="344" t="s">
        <v>2102</v>
      </c>
      <c r="C274" s="349" t="s">
        <v>2103</v>
      </c>
      <c r="D274" s="396">
        <v>101</v>
      </c>
      <c r="E274" s="445"/>
      <c r="F274" s="445"/>
      <c r="G274" s="445"/>
      <c r="H274" s="445"/>
      <c r="I274" s="445"/>
      <c r="J274" s="445"/>
      <c r="K274" s="445"/>
      <c r="L274" s="445"/>
      <c r="M274" s="445"/>
      <c r="N274" s="445"/>
      <c r="O274" s="445">
        <v>0</v>
      </c>
      <c r="P274" s="445"/>
      <c r="Q274" s="620">
        <f t="shared" si="21"/>
        <v>0</v>
      </c>
      <c r="R274" s="331" t="str">
        <f t="shared" si="20"/>
        <v>SI</v>
      </c>
      <c r="S274" s="347" t="str">
        <f t="shared" si="22"/>
        <v>Sin Riesgo</v>
      </c>
      <c r="T274" s="20"/>
    </row>
    <row r="275" spans="1:20" ht="32.1" customHeight="1">
      <c r="A275" s="452" t="s">
        <v>166</v>
      </c>
      <c r="B275" s="344" t="s">
        <v>2104</v>
      </c>
      <c r="C275" s="350" t="s">
        <v>2105</v>
      </c>
      <c r="D275" s="396">
        <v>95</v>
      </c>
      <c r="E275" s="445"/>
      <c r="F275" s="445"/>
      <c r="G275" s="445"/>
      <c r="H275" s="445"/>
      <c r="I275" s="445"/>
      <c r="J275" s="445">
        <v>0</v>
      </c>
      <c r="K275" s="445"/>
      <c r="L275" s="445"/>
      <c r="M275" s="445"/>
      <c r="N275" s="445"/>
      <c r="O275" s="445"/>
      <c r="P275" s="445"/>
      <c r="Q275" s="620">
        <f t="shared" si="21"/>
        <v>0</v>
      </c>
      <c r="R275" s="331" t="str">
        <f t="shared" si="20"/>
        <v>SI</v>
      </c>
      <c r="S275" s="347" t="str">
        <f t="shared" si="22"/>
        <v>Sin Riesgo</v>
      </c>
      <c r="T275" s="16"/>
    </row>
    <row r="276" spans="1:20" ht="32.1" customHeight="1">
      <c r="A276" s="595" t="s">
        <v>166</v>
      </c>
      <c r="B276" s="595" t="s">
        <v>2106</v>
      </c>
      <c r="C276" s="598" t="s">
        <v>2107</v>
      </c>
      <c r="D276" s="345">
        <v>131</v>
      </c>
      <c r="E276" s="368"/>
      <c r="F276" s="368">
        <v>97.3</v>
      </c>
      <c r="G276" s="368"/>
      <c r="H276" s="368"/>
      <c r="I276" s="368"/>
      <c r="J276" s="368"/>
      <c r="K276" s="368"/>
      <c r="L276" s="368"/>
      <c r="M276" s="368"/>
      <c r="N276" s="368"/>
      <c r="O276" s="368"/>
      <c r="P276" s="368"/>
      <c r="Q276" s="620">
        <f t="shared" si="21"/>
        <v>97.3</v>
      </c>
      <c r="R276" s="331" t="str">
        <f t="shared" si="20"/>
        <v>NO</v>
      </c>
      <c r="S276" s="347" t="str">
        <f t="shared" si="22"/>
        <v>Inviable Sanitariamente</v>
      </c>
      <c r="T276" s="16"/>
    </row>
    <row r="277" spans="1:20" ht="32.1" customHeight="1">
      <c r="A277" s="595" t="s">
        <v>166</v>
      </c>
      <c r="B277" s="595" t="s">
        <v>2108</v>
      </c>
      <c r="C277" s="598" t="s">
        <v>2109</v>
      </c>
      <c r="D277" s="345">
        <v>40</v>
      </c>
      <c r="E277" s="368"/>
      <c r="F277" s="368">
        <v>97.3</v>
      </c>
      <c r="G277" s="368"/>
      <c r="H277" s="368"/>
      <c r="I277" s="368"/>
      <c r="J277" s="368"/>
      <c r="K277" s="368"/>
      <c r="L277" s="368"/>
      <c r="M277" s="368"/>
      <c r="N277" s="368"/>
      <c r="O277" s="368"/>
      <c r="P277" s="368"/>
      <c r="Q277" s="620">
        <f t="shared" si="21"/>
        <v>97.3</v>
      </c>
      <c r="R277" s="331" t="str">
        <f t="shared" si="20"/>
        <v>NO</v>
      </c>
      <c r="S277" s="347" t="str">
        <f t="shared" si="22"/>
        <v>Inviable Sanitariamente</v>
      </c>
      <c r="T277" s="16"/>
    </row>
    <row r="278" spans="1:20" ht="32.1" customHeight="1">
      <c r="A278" s="595" t="s">
        <v>166</v>
      </c>
      <c r="B278" s="595" t="s">
        <v>2110</v>
      </c>
      <c r="C278" s="598" t="s">
        <v>2111</v>
      </c>
      <c r="D278" s="345">
        <v>38</v>
      </c>
      <c r="E278" s="368"/>
      <c r="F278" s="368">
        <v>97.3</v>
      </c>
      <c r="G278" s="368"/>
      <c r="H278" s="368"/>
      <c r="I278" s="368"/>
      <c r="J278" s="368"/>
      <c r="K278" s="368"/>
      <c r="L278" s="368"/>
      <c r="M278" s="368"/>
      <c r="N278" s="368"/>
      <c r="O278" s="368"/>
      <c r="P278" s="368"/>
      <c r="Q278" s="620">
        <f t="shared" si="21"/>
        <v>97.3</v>
      </c>
      <c r="R278" s="331" t="str">
        <f t="shared" si="20"/>
        <v>NO</v>
      </c>
      <c r="S278" s="347" t="str">
        <f t="shared" si="22"/>
        <v>Inviable Sanitariamente</v>
      </c>
      <c r="T278" s="16"/>
    </row>
    <row r="279" spans="1:20" ht="32.1" customHeight="1">
      <c r="A279" s="595" t="s">
        <v>166</v>
      </c>
      <c r="B279" s="595" t="s">
        <v>60</v>
      </c>
      <c r="C279" s="598" t="s">
        <v>2112</v>
      </c>
      <c r="D279" s="345">
        <v>19</v>
      </c>
      <c r="E279" s="368"/>
      <c r="F279" s="368">
        <v>97.3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620">
        <f t="shared" si="21"/>
        <v>97.3</v>
      </c>
      <c r="R279" s="331" t="str">
        <f t="shared" si="20"/>
        <v>NO</v>
      </c>
      <c r="S279" s="347" t="str">
        <f t="shared" si="22"/>
        <v>Inviable Sanitariamente</v>
      </c>
      <c r="T279" s="16"/>
    </row>
    <row r="280" spans="1:20" ht="32.1" customHeight="1">
      <c r="A280" s="452" t="s">
        <v>166</v>
      </c>
      <c r="B280" s="344" t="s">
        <v>2113</v>
      </c>
      <c r="C280" s="349" t="s">
        <v>2114</v>
      </c>
      <c r="D280" s="396">
        <v>115</v>
      </c>
      <c r="E280" s="445"/>
      <c r="F280" s="445"/>
      <c r="G280" s="445"/>
      <c r="H280" s="445"/>
      <c r="I280" s="445">
        <v>70.8</v>
      </c>
      <c r="J280" s="445"/>
      <c r="K280" s="445"/>
      <c r="L280" s="445"/>
      <c r="M280" s="445"/>
      <c r="N280" s="445"/>
      <c r="O280" s="445"/>
      <c r="P280" s="445"/>
      <c r="Q280" s="620">
        <f t="shared" si="21"/>
        <v>70.8</v>
      </c>
      <c r="R280" s="331" t="str">
        <f t="shared" si="20"/>
        <v>NO</v>
      </c>
      <c r="S280" s="347" t="str">
        <f t="shared" si="22"/>
        <v>Alto</v>
      </c>
      <c r="T280" s="16"/>
    </row>
    <row r="281" spans="1:20" ht="32.1" customHeight="1">
      <c r="A281" s="452" t="s">
        <v>166</v>
      </c>
      <c r="B281" s="344" t="s">
        <v>2115</v>
      </c>
      <c r="C281" s="349" t="s">
        <v>2116</v>
      </c>
      <c r="D281" s="396">
        <v>42</v>
      </c>
      <c r="E281" s="445"/>
      <c r="F281" s="445"/>
      <c r="G281" s="445"/>
      <c r="H281" s="445"/>
      <c r="I281" s="445"/>
      <c r="J281" s="445">
        <v>64</v>
      </c>
      <c r="K281" s="445"/>
      <c r="L281" s="445"/>
      <c r="M281" s="445"/>
      <c r="N281" s="445"/>
      <c r="O281" s="445"/>
      <c r="P281" s="445"/>
      <c r="Q281" s="620">
        <f t="shared" si="21"/>
        <v>64</v>
      </c>
      <c r="R281" s="331" t="str">
        <f t="shared" si="20"/>
        <v>NO</v>
      </c>
      <c r="S281" s="347" t="str">
        <f t="shared" si="22"/>
        <v>Alto</v>
      </c>
      <c r="T281" s="16"/>
    </row>
    <row r="282" spans="1:20" ht="32.1" customHeight="1">
      <c r="A282" s="452" t="s">
        <v>166</v>
      </c>
      <c r="B282" s="344" t="s">
        <v>2117</v>
      </c>
      <c r="C282" s="349" t="s">
        <v>2118</v>
      </c>
      <c r="D282" s="396">
        <v>42</v>
      </c>
      <c r="E282" s="445"/>
      <c r="F282" s="445"/>
      <c r="G282" s="445"/>
      <c r="H282" s="445"/>
      <c r="I282" s="445">
        <v>70.8</v>
      </c>
      <c r="J282" s="445"/>
      <c r="K282" s="445"/>
      <c r="L282" s="445"/>
      <c r="M282" s="445"/>
      <c r="N282" s="445"/>
      <c r="O282" s="445"/>
      <c r="P282" s="445"/>
      <c r="Q282" s="620">
        <f t="shared" si="21"/>
        <v>70.8</v>
      </c>
      <c r="R282" s="331" t="str">
        <f t="shared" si="20"/>
        <v>NO</v>
      </c>
      <c r="S282" s="347" t="str">
        <f t="shared" si="22"/>
        <v>Alto</v>
      </c>
      <c r="T282" s="16"/>
    </row>
    <row r="283" spans="1:20" ht="32.1" customHeight="1">
      <c r="A283" s="452" t="s">
        <v>167</v>
      </c>
      <c r="B283" s="344" t="s">
        <v>2119</v>
      </c>
      <c r="C283" s="349" t="s">
        <v>2120</v>
      </c>
      <c r="D283" s="418">
        <v>180</v>
      </c>
      <c r="E283" s="641"/>
      <c r="F283" s="641"/>
      <c r="G283" s="641">
        <v>0</v>
      </c>
      <c r="H283" s="641"/>
      <c r="I283" s="641"/>
      <c r="J283" s="641"/>
      <c r="K283" s="641"/>
      <c r="L283" s="641"/>
      <c r="M283" s="641"/>
      <c r="N283" s="641"/>
      <c r="O283" s="641"/>
      <c r="P283" s="641"/>
      <c r="Q283" s="620">
        <f t="shared" si="21"/>
        <v>0</v>
      </c>
      <c r="R283" s="331" t="str">
        <f t="shared" si="20"/>
        <v>SI</v>
      </c>
      <c r="S283" s="347" t="str">
        <f t="shared" si="22"/>
        <v>Sin Riesgo</v>
      </c>
      <c r="T283" s="16"/>
    </row>
    <row r="284" spans="1:20" ht="32.1" customHeight="1">
      <c r="A284" s="595" t="s">
        <v>167</v>
      </c>
      <c r="B284" s="595" t="s">
        <v>2121</v>
      </c>
      <c r="C284" s="598" t="s">
        <v>2122</v>
      </c>
      <c r="D284" s="345">
        <v>40</v>
      </c>
      <c r="E284" s="368"/>
      <c r="F284" s="368"/>
      <c r="G284" s="368">
        <v>97.3</v>
      </c>
      <c r="H284" s="368"/>
      <c r="I284" s="368">
        <v>97.3</v>
      </c>
      <c r="J284" s="368"/>
      <c r="K284" s="368"/>
      <c r="L284" s="368"/>
      <c r="M284" s="368"/>
      <c r="N284" s="368">
        <v>97.3</v>
      </c>
      <c r="O284" s="368"/>
      <c r="P284" s="368"/>
      <c r="Q284" s="620">
        <f t="shared" si="21"/>
        <v>97.3</v>
      </c>
      <c r="R284" s="331" t="str">
        <f t="shared" si="20"/>
        <v>NO</v>
      </c>
      <c r="S284" s="347" t="str">
        <f t="shared" si="22"/>
        <v>Inviable Sanitariamente</v>
      </c>
      <c r="T284" s="16"/>
    </row>
    <row r="285" spans="1:20" ht="32.1" customHeight="1">
      <c r="A285" s="595" t="s">
        <v>167</v>
      </c>
      <c r="B285" s="595" t="s">
        <v>2123</v>
      </c>
      <c r="C285" s="598" t="s">
        <v>2124</v>
      </c>
      <c r="D285" s="345">
        <v>26</v>
      </c>
      <c r="E285" s="368">
        <v>0</v>
      </c>
      <c r="F285" s="368"/>
      <c r="G285" s="368"/>
      <c r="H285" s="368"/>
      <c r="I285" s="368"/>
      <c r="J285" s="368"/>
      <c r="K285" s="368"/>
      <c r="L285" s="368"/>
      <c r="M285" s="368"/>
      <c r="N285" s="368"/>
      <c r="O285" s="368"/>
      <c r="P285" s="368"/>
      <c r="Q285" s="620">
        <f t="shared" si="21"/>
        <v>0</v>
      </c>
      <c r="R285" s="331" t="str">
        <f t="shared" si="20"/>
        <v>SI</v>
      </c>
      <c r="S285" s="347" t="str">
        <f t="shared" si="22"/>
        <v>Sin Riesgo</v>
      </c>
      <c r="T285" s="16"/>
    </row>
    <row r="286" spans="1:20" ht="32.1" customHeight="1">
      <c r="A286" s="595" t="s">
        <v>167</v>
      </c>
      <c r="B286" s="595" t="s">
        <v>1716</v>
      </c>
      <c r="C286" s="598" t="s">
        <v>2125</v>
      </c>
      <c r="D286" s="345">
        <v>57</v>
      </c>
      <c r="E286" s="368">
        <v>97.3</v>
      </c>
      <c r="F286" s="368"/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620">
        <f t="shared" si="21"/>
        <v>97.3</v>
      </c>
      <c r="R286" s="331" t="str">
        <f t="shared" si="20"/>
        <v>NO</v>
      </c>
      <c r="S286" s="347" t="str">
        <f t="shared" si="22"/>
        <v>Inviable Sanitariamente</v>
      </c>
      <c r="T286" s="16"/>
    </row>
    <row r="287" spans="1:20" ht="45.75" customHeight="1">
      <c r="A287" s="595" t="s">
        <v>167</v>
      </c>
      <c r="B287" s="595" t="s">
        <v>2126</v>
      </c>
      <c r="C287" s="598" t="s">
        <v>2127</v>
      </c>
      <c r="D287" s="345">
        <v>60</v>
      </c>
      <c r="E287" s="368"/>
      <c r="F287" s="368"/>
      <c r="G287" s="368"/>
      <c r="H287" s="368"/>
      <c r="I287" s="368">
        <v>76.92</v>
      </c>
      <c r="J287" s="368"/>
      <c r="K287" s="368"/>
      <c r="L287" s="368"/>
      <c r="M287" s="368"/>
      <c r="N287" s="368"/>
      <c r="O287" s="368"/>
      <c r="P287" s="368"/>
      <c r="Q287" s="620">
        <f t="shared" si="21"/>
        <v>76.92</v>
      </c>
      <c r="R287" s="331" t="str">
        <f t="shared" si="20"/>
        <v>NO</v>
      </c>
      <c r="S287" s="347" t="str">
        <f t="shared" si="22"/>
        <v>Alto</v>
      </c>
      <c r="T287" s="16"/>
    </row>
    <row r="288" spans="1:20" ht="32.1" customHeight="1">
      <c r="A288" s="595" t="s">
        <v>167</v>
      </c>
      <c r="B288" s="595" t="s">
        <v>2128</v>
      </c>
      <c r="C288" s="598" t="s">
        <v>2129</v>
      </c>
      <c r="D288" s="345">
        <v>22</v>
      </c>
      <c r="E288" s="368">
        <v>97.3</v>
      </c>
      <c r="F288" s="368"/>
      <c r="G288" s="368"/>
      <c r="H288" s="368"/>
      <c r="I288" s="368"/>
      <c r="J288" s="368">
        <v>97.3</v>
      </c>
      <c r="K288" s="368"/>
      <c r="L288" s="368"/>
      <c r="M288" s="368"/>
      <c r="N288" s="368"/>
      <c r="O288" s="368"/>
      <c r="P288" s="368"/>
      <c r="Q288" s="620">
        <f t="shared" si="21"/>
        <v>97.3</v>
      </c>
      <c r="R288" s="331" t="str">
        <f t="shared" si="20"/>
        <v>NO</v>
      </c>
      <c r="S288" s="347" t="str">
        <f t="shared" si="22"/>
        <v>Inviable Sanitariamente</v>
      </c>
      <c r="T288" s="16"/>
    </row>
    <row r="289" spans="1:20" ht="32.1" customHeight="1">
      <c r="A289" s="595" t="s">
        <v>167</v>
      </c>
      <c r="B289" s="595" t="s">
        <v>2130</v>
      </c>
      <c r="C289" s="598" t="s">
        <v>2131</v>
      </c>
      <c r="D289" s="345">
        <v>70</v>
      </c>
      <c r="E289" s="368"/>
      <c r="F289" s="368">
        <v>97.3</v>
      </c>
      <c r="G289" s="368"/>
      <c r="H289" s="368"/>
      <c r="I289" s="368"/>
      <c r="J289" s="368">
        <v>97.3</v>
      </c>
      <c r="K289" s="368"/>
      <c r="L289" s="368"/>
      <c r="M289" s="368"/>
      <c r="N289" s="368"/>
      <c r="O289" s="368"/>
      <c r="P289" s="368"/>
      <c r="Q289" s="620">
        <f t="shared" si="21"/>
        <v>97.3</v>
      </c>
      <c r="R289" s="331" t="str">
        <f t="shared" si="20"/>
        <v>NO</v>
      </c>
      <c r="S289" s="347" t="str">
        <f t="shared" si="22"/>
        <v>Inviable Sanitariamente</v>
      </c>
      <c r="T289" s="16"/>
    </row>
    <row r="290" spans="1:20" ht="32.1" customHeight="1">
      <c r="A290" s="595" t="s">
        <v>167</v>
      </c>
      <c r="B290" s="595" t="s">
        <v>2132</v>
      </c>
      <c r="C290" s="598" t="s">
        <v>2133</v>
      </c>
      <c r="D290" s="345">
        <v>84</v>
      </c>
      <c r="E290" s="368"/>
      <c r="F290" s="368"/>
      <c r="G290" s="368"/>
      <c r="H290" s="368"/>
      <c r="I290" s="368"/>
      <c r="J290" s="368">
        <v>41.96</v>
      </c>
      <c r="K290" s="368"/>
      <c r="L290" s="368"/>
      <c r="M290" s="368"/>
      <c r="N290" s="368"/>
      <c r="O290" s="368"/>
      <c r="P290" s="368"/>
      <c r="Q290" s="620">
        <f t="shared" si="21"/>
        <v>41.96</v>
      </c>
      <c r="R290" s="331" t="str">
        <f t="shared" si="20"/>
        <v>NO</v>
      </c>
      <c r="S290" s="347" t="str">
        <f t="shared" si="22"/>
        <v>Alto</v>
      </c>
      <c r="T290" s="16"/>
    </row>
    <row r="291" spans="1:20" ht="32.1" customHeight="1">
      <c r="A291" s="595" t="s">
        <v>167</v>
      </c>
      <c r="B291" s="595" t="s">
        <v>630</v>
      </c>
      <c r="C291" s="598" t="s">
        <v>2134</v>
      </c>
      <c r="D291" s="345">
        <v>24</v>
      </c>
      <c r="E291" s="368">
        <v>76.92</v>
      </c>
      <c r="F291" s="368"/>
      <c r="G291" s="368"/>
      <c r="H291" s="368"/>
      <c r="I291" s="368"/>
      <c r="J291" s="368"/>
      <c r="K291" s="368"/>
      <c r="L291" s="368"/>
      <c r="M291" s="368"/>
      <c r="N291" s="368"/>
      <c r="O291" s="368"/>
      <c r="P291" s="368"/>
      <c r="Q291" s="620">
        <f>AVERAGE(E291:P291)</f>
        <v>76.92</v>
      </c>
      <c r="R291" s="331" t="str">
        <f t="shared" si="20"/>
        <v>NO</v>
      </c>
      <c r="S291" s="347" t="str">
        <f t="shared" si="22"/>
        <v>Alto</v>
      </c>
      <c r="T291" s="16"/>
    </row>
    <row r="292" spans="1:20" ht="32.1" customHeight="1">
      <c r="A292" s="595" t="s">
        <v>167</v>
      </c>
      <c r="B292" s="595" t="s">
        <v>2135</v>
      </c>
      <c r="C292" s="598" t="s">
        <v>2136</v>
      </c>
      <c r="D292" s="345">
        <v>48</v>
      </c>
      <c r="E292" s="368"/>
      <c r="F292" s="368"/>
      <c r="G292" s="368">
        <v>53.1</v>
      </c>
      <c r="H292" s="368"/>
      <c r="I292" s="368"/>
      <c r="J292" s="368"/>
      <c r="K292" s="368"/>
      <c r="L292" s="368"/>
      <c r="M292" s="368"/>
      <c r="N292" s="368"/>
      <c r="O292" s="368">
        <v>53.1</v>
      </c>
      <c r="P292" s="368"/>
      <c r="Q292" s="620">
        <f t="shared" si="21"/>
        <v>53.1</v>
      </c>
      <c r="R292" s="331" t="str">
        <f t="shared" si="20"/>
        <v>NO</v>
      </c>
      <c r="S292" s="347" t="str">
        <f t="shared" si="22"/>
        <v>Alto</v>
      </c>
      <c r="T292" s="16"/>
    </row>
    <row r="293" spans="1:20" ht="32.1" customHeight="1">
      <c r="A293" s="595" t="s">
        <v>167</v>
      </c>
      <c r="B293" s="595" t="s">
        <v>2137</v>
      </c>
      <c r="C293" s="598" t="s">
        <v>2138</v>
      </c>
      <c r="D293" s="345">
        <v>61</v>
      </c>
      <c r="E293" s="368"/>
      <c r="F293" s="368"/>
      <c r="G293" s="368">
        <v>97.3</v>
      </c>
      <c r="H293" s="368"/>
      <c r="I293" s="368"/>
      <c r="J293" s="368">
        <v>97.3</v>
      </c>
      <c r="K293" s="368"/>
      <c r="L293" s="368"/>
      <c r="M293" s="368"/>
      <c r="N293" s="368"/>
      <c r="O293" s="368"/>
      <c r="P293" s="368"/>
      <c r="Q293" s="620">
        <f t="shared" si="21"/>
        <v>97.3</v>
      </c>
      <c r="R293" s="331" t="str">
        <f t="shared" si="20"/>
        <v>NO</v>
      </c>
      <c r="S293" s="347" t="str">
        <f t="shared" si="22"/>
        <v>Inviable Sanitariamente</v>
      </c>
      <c r="T293" s="16"/>
    </row>
    <row r="294" spans="1:20" ht="32.1" customHeight="1">
      <c r="A294" s="595" t="s">
        <v>167</v>
      </c>
      <c r="B294" s="595" t="s">
        <v>2121</v>
      </c>
      <c r="C294" s="598" t="s">
        <v>2139</v>
      </c>
      <c r="D294" s="345">
        <v>75</v>
      </c>
      <c r="E294" s="368"/>
      <c r="F294" s="368"/>
      <c r="G294" s="368"/>
      <c r="H294" s="368"/>
      <c r="I294" s="368"/>
      <c r="J294" s="368"/>
      <c r="K294" s="368">
        <v>0</v>
      </c>
      <c r="L294" s="368"/>
      <c r="M294" s="368"/>
      <c r="N294" s="368"/>
      <c r="O294" s="368"/>
      <c r="P294" s="368"/>
      <c r="Q294" s="620">
        <f t="shared" si="21"/>
        <v>0</v>
      </c>
      <c r="R294" s="331" t="str">
        <f t="shared" si="20"/>
        <v>SI</v>
      </c>
      <c r="S294" s="347" t="str">
        <f t="shared" si="22"/>
        <v>Sin Riesgo</v>
      </c>
      <c r="T294" s="16"/>
    </row>
    <row r="295" spans="1:20" ht="32.1" customHeight="1">
      <c r="A295" s="595" t="s">
        <v>167</v>
      </c>
      <c r="B295" s="595" t="s">
        <v>1028</v>
      </c>
      <c r="C295" s="598" t="s">
        <v>2140</v>
      </c>
      <c r="D295" s="345">
        <v>15</v>
      </c>
      <c r="E295" s="368"/>
      <c r="F295" s="368"/>
      <c r="G295" s="368">
        <v>97.3</v>
      </c>
      <c r="H295" s="368"/>
      <c r="I295" s="368"/>
      <c r="J295" s="368">
        <v>97.3</v>
      </c>
      <c r="K295" s="368"/>
      <c r="L295" s="368"/>
      <c r="M295" s="368"/>
      <c r="N295" s="368"/>
      <c r="O295" s="368"/>
      <c r="P295" s="368"/>
      <c r="Q295" s="620">
        <f t="shared" si="21"/>
        <v>97.3</v>
      </c>
      <c r="R295" s="331" t="str">
        <f t="shared" si="20"/>
        <v>NO</v>
      </c>
      <c r="S295" s="347" t="str">
        <f t="shared" si="22"/>
        <v>Inviable Sanitariamente</v>
      </c>
      <c r="T295" s="16"/>
    </row>
    <row r="296" spans="1:20" ht="32.1" customHeight="1">
      <c r="A296" s="595" t="s">
        <v>167</v>
      </c>
      <c r="B296" s="595" t="s">
        <v>1713</v>
      </c>
      <c r="C296" s="598" t="s">
        <v>2141</v>
      </c>
      <c r="D296" s="345">
        <v>20</v>
      </c>
      <c r="E296" s="368"/>
      <c r="F296" s="368"/>
      <c r="G296" s="368"/>
      <c r="H296" s="368">
        <v>97.3</v>
      </c>
      <c r="I296" s="368">
        <v>53.1</v>
      </c>
      <c r="J296" s="368"/>
      <c r="K296" s="368"/>
      <c r="L296" s="368"/>
      <c r="M296" s="368"/>
      <c r="N296" s="368"/>
      <c r="O296" s="368">
        <v>97.3</v>
      </c>
      <c r="P296" s="368"/>
      <c r="Q296" s="620">
        <f t="shared" si="21"/>
        <v>82.566666666666663</v>
      </c>
      <c r="R296" s="331" t="str">
        <f t="shared" si="20"/>
        <v>NO</v>
      </c>
      <c r="S296" s="347" t="str">
        <f t="shared" si="22"/>
        <v>Inviable Sanitariamente</v>
      </c>
      <c r="T296" s="16"/>
    </row>
    <row r="297" spans="1:20" ht="32.1" customHeight="1">
      <c r="A297" s="595" t="s">
        <v>167</v>
      </c>
      <c r="B297" s="586" t="s">
        <v>259</v>
      </c>
      <c r="C297" s="596" t="s">
        <v>2142</v>
      </c>
      <c r="D297" s="345">
        <v>207</v>
      </c>
      <c r="E297" s="368"/>
      <c r="F297" s="368"/>
      <c r="G297" s="368"/>
      <c r="H297" s="368"/>
      <c r="I297" s="368"/>
      <c r="J297" s="368">
        <v>97.3</v>
      </c>
      <c r="K297" s="368"/>
      <c r="L297" s="368"/>
      <c r="M297" s="368"/>
      <c r="N297" s="368"/>
      <c r="O297" s="368"/>
      <c r="P297" s="368"/>
      <c r="Q297" s="620">
        <f t="shared" si="21"/>
        <v>97.3</v>
      </c>
      <c r="R297" s="331" t="str">
        <f t="shared" si="20"/>
        <v>NO</v>
      </c>
      <c r="S297" s="347" t="str">
        <f t="shared" si="22"/>
        <v>Inviable Sanitariamente</v>
      </c>
      <c r="T297" s="16"/>
    </row>
    <row r="298" spans="1:20" ht="32.1" customHeight="1">
      <c r="A298" s="595" t="s">
        <v>167</v>
      </c>
      <c r="B298" s="595" t="s">
        <v>2143</v>
      </c>
      <c r="C298" s="598" t="s">
        <v>2144</v>
      </c>
      <c r="D298" s="345">
        <v>12</v>
      </c>
      <c r="E298" s="368"/>
      <c r="F298" s="368"/>
      <c r="G298" s="368"/>
      <c r="H298" s="368"/>
      <c r="I298" s="368"/>
      <c r="J298" s="368">
        <v>42</v>
      </c>
      <c r="K298" s="368"/>
      <c r="L298" s="368"/>
      <c r="M298" s="368"/>
      <c r="N298" s="368"/>
      <c r="O298" s="368"/>
      <c r="P298" s="368"/>
      <c r="Q298" s="620">
        <f t="shared" si="21"/>
        <v>42</v>
      </c>
      <c r="R298" s="331" t="str">
        <f t="shared" si="20"/>
        <v>NO</v>
      </c>
      <c r="S298" s="347" t="str">
        <f t="shared" si="22"/>
        <v>Alto</v>
      </c>
      <c r="T298" s="16"/>
    </row>
    <row r="299" spans="1:20" ht="32.1" customHeight="1">
      <c r="A299" s="452" t="s">
        <v>167</v>
      </c>
      <c r="B299" s="344" t="s">
        <v>2145</v>
      </c>
      <c r="C299" s="464" t="s">
        <v>2146</v>
      </c>
      <c r="D299" s="418">
        <v>75</v>
      </c>
      <c r="E299" s="641"/>
      <c r="F299" s="641"/>
      <c r="G299" s="641">
        <v>97</v>
      </c>
      <c r="H299" s="641"/>
      <c r="I299" s="641"/>
      <c r="J299" s="641"/>
      <c r="K299" s="641"/>
      <c r="L299" s="641"/>
      <c r="M299" s="641"/>
      <c r="N299" s="641"/>
      <c r="O299" s="641"/>
      <c r="P299" s="641"/>
      <c r="Q299" s="620">
        <f t="shared" si="21"/>
        <v>97</v>
      </c>
      <c r="R299" s="331" t="str">
        <f t="shared" si="20"/>
        <v>NO</v>
      </c>
      <c r="S299" s="347" t="str">
        <f t="shared" si="22"/>
        <v>Inviable Sanitariamente</v>
      </c>
      <c r="T299" s="16"/>
    </row>
    <row r="300" spans="1:20" ht="32.1" customHeight="1">
      <c r="A300" s="595" t="s">
        <v>167</v>
      </c>
      <c r="B300" s="595" t="s">
        <v>2147</v>
      </c>
      <c r="C300" s="598" t="s">
        <v>2148</v>
      </c>
      <c r="D300" s="345">
        <v>120</v>
      </c>
      <c r="E300" s="368"/>
      <c r="F300" s="368"/>
      <c r="G300" s="368"/>
      <c r="H300" s="368"/>
      <c r="I300" s="368"/>
      <c r="J300" s="368">
        <v>0</v>
      </c>
      <c r="K300" s="368"/>
      <c r="L300" s="368"/>
      <c r="M300" s="368"/>
      <c r="N300" s="368"/>
      <c r="O300" s="368"/>
      <c r="P300" s="368"/>
      <c r="Q300" s="620">
        <f t="shared" si="21"/>
        <v>0</v>
      </c>
      <c r="R300" s="331" t="str">
        <f t="shared" si="20"/>
        <v>SI</v>
      </c>
      <c r="S300" s="347" t="str">
        <f t="shared" si="22"/>
        <v>Sin Riesgo</v>
      </c>
      <c r="T300" s="16"/>
    </row>
    <row r="301" spans="1:20" ht="32.1" customHeight="1">
      <c r="A301" s="595" t="s">
        <v>167</v>
      </c>
      <c r="B301" s="595" t="s">
        <v>1752</v>
      </c>
      <c r="C301" s="598" t="s">
        <v>2149</v>
      </c>
      <c r="D301" s="345">
        <v>15</v>
      </c>
      <c r="E301" s="368">
        <v>76.900000000000006</v>
      </c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620">
        <f t="shared" si="21"/>
        <v>76.900000000000006</v>
      </c>
      <c r="R301" s="331" t="str">
        <f t="shared" si="20"/>
        <v>NO</v>
      </c>
      <c r="S301" s="347" t="str">
        <f t="shared" si="22"/>
        <v>Alto</v>
      </c>
      <c r="T301" s="16"/>
    </row>
    <row r="302" spans="1:20" ht="32.1" customHeight="1">
      <c r="A302" s="595" t="s">
        <v>167</v>
      </c>
      <c r="B302" s="595" t="s">
        <v>2150</v>
      </c>
      <c r="C302" s="598" t="s">
        <v>2151</v>
      </c>
      <c r="D302" s="345">
        <v>53</v>
      </c>
      <c r="E302" s="368">
        <v>76.92</v>
      </c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620">
        <f t="shared" si="21"/>
        <v>76.92</v>
      </c>
      <c r="R302" s="331" t="str">
        <f t="shared" si="20"/>
        <v>NO</v>
      </c>
      <c r="S302" s="347" t="str">
        <f t="shared" si="22"/>
        <v>Alto</v>
      </c>
      <c r="T302" s="16"/>
    </row>
    <row r="303" spans="1:20" ht="32.1" customHeight="1">
      <c r="A303" s="595" t="s">
        <v>167</v>
      </c>
      <c r="B303" s="586" t="s">
        <v>2152</v>
      </c>
      <c r="C303" s="596" t="s">
        <v>2153</v>
      </c>
      <c r="D303" s="345">
        <v>49</v>
      </c>
      <c r="E303" s="368"/>
      <c r="F303" s="368"/>
      <c r="G303" s="368"/>
      <c r="H303" s="368"/>
      <c r="I303" s="368">
        <v>97.3</v>
      </c>
      <c r="J303" s="368"/>
      <c r="K303" s="368"/>
      <c r="L303" s="368"/>
      <c r="M303" s="368"/>
      <c r="N303" s="368"/>
      <c r="O303" s="368"/>
      <c r="P303" s="368"/>
      <c r="Q303" s="620">
        <f t="shared" si="21"/>
        <v>97.3</v>
      </c>
      <c r="R303" s="331" t="str">
        <f t="shared" si="20"/>
        <v>NO</v>
      </c>
      <c r="S303" s="347" t="str">
        <f t="shared" si="22"/>
        <v>Inviable Sanitariamente</v>
      </c>
      <c r="T303" s="16"/>
    </row>
    <row r="304" spans="1:20" ht="32.1" customHeight="1">
      <c r="A304" s="595" t="s">
        <v>167</v>
      </c>
      <c r="B304" s="586" t="s">
        <v>58</v>
      </c>
      <c r="C304" s="596" t="s">
        <v>1009</v>
      </c>
      <c r="D304" s="345">
        <v>35</v>
      </c>
      <c r="E304" s="368"/>
      <c r="F304" s="368"/>
      <c r="G304" s="368"/>
      <c r="H304" s="368"/>
      <c r="I304" s="368">
        <v>76.900000000000006</v>
      </c>
      <c r="J304" s="368"/>
      <c r="K304" s="368"/>
      <c r="L304" s="368"/>
      <c r="M304" s="368"/>
      <c r="N304" s="368"/>
      <c r="O304" s="368"/>
      <c r="P304" s="368"/>
      <c r="Q304" s="620">
        <f t="shared" si="21"/>
        <v>76.900000000000006</v>
      </c>
      <c r="R304" s="331" t="str">
        <f t="shared" ref="R304:R365" si="23">IF(Q304&lt;5,"SI","NO")</f>
        <v>NO</v>
      </c>
      <c r="S304" s="347" t="str">
        <f t="shared" si="22"/>
        <v>Alto</v>
      </c>
      <c r="T304" s="16"/>
    </row>
    <row r="305" spans="1:20" ht="32.1" customHeight="1">
      <c r="A305" s="595" t="s">
        <v>167</v>
      </c>
      <c r="B305" s="595" t="s">
        <v>2154</v>
      </c>
      <c r="C305" s="596" t="s">
        <v>2155</v>
      </c>
      <c r="D305" s="345">
        <v>40</v>
      </c>
      <c r="E305" s="368"/>
      <c r="F305" s="368">
        <v>97.3</v>
      </c>
      <c r="G305" s="368"/>
      <c r="H305" s="368"/>
      <c r="I305" s="368"/>
      <c r="J305" s="368">
        <v>97.3</v>
      </c>
      <c r="K305" s="368"/>
      <c r="L305" s="368"/>
      <c r="M305" s="368"/>
      <c r="N305" s="368"/>
      <c r="O305" s="368"/>
      <c r="P305" s="368"/>
      <c r="Q305" s="620">
        <f t="shared" ref="Q305:Q366" si="24">AVERAGE(E305:P305)</f>
        <v>97.3</v>
      </c>
      <c r="R305" s="331" t="str">
        <f t="shared" si="23"/>
        <v>NO</v>
      </c>
      <c r="S305" s="347" t="str">
        <f t="shared" si="22"/>
        <v>Inviable Sanitariamente</v>
      </c>
      <c r="T305" s="16"/>
    </row>
    <row r="306" spans="1:20" ht="32.1" customHeight="1">
      <c r="A306" s="595" t="s">
        <v>167</v>
      </c>
      <c r="B306" s="595" t="s">
        <v>2156</v>
      </c>
      <c r="C306" s="598" t="s">
        <v>2157</v>
      </c>
      <c r="D306" s="345">
        <v>16</v>
      </c>
      <c r="E306" s="368"/>
      <c r="F306" s="368"/>
      <c r="G306" s="368"/>
      <c r="H306" s="368"/>
      <c r="I306" s="368">
        <v>97.9</v>
      </c>
      <c r="J306" s="368"/>
      <c r="K306" s="368"/>
      <c r="L306" s="368"/>
      <c r="M306" s="368"/>
      <c r="N306" s="368"/>
      <c r="O306" s="368"/>
      <c r="P306" s="368"/>
      <c r="Q306" s="620">
        <f t="shared" si="24"/>
        <v>97.9</v>
      </c>
      <c r="R306" s="331" t="str">
        <f t="shared" si="23"/>
        <v>NO</v>
      </c>
      <c r="S306" s="347" t="str">
        <f t="shared" si="22"/>
        <v>Inviable Sanitariamente</v>
      </c>
      <c r="T306" s="16"/>
    </row>
    <row r="307" spans="1:20" ht="32.1" customHeight="1">
      <c r="A307" s="595" t="s">
        <v>167</v>
      </c>
      <c r="B307" s="607" t="s">
        <v>47</v>
      </c>
      <c r="C307" s="608" t="s">
        <v>3905</v>
      </c>
      <c r="D307" s="345">
        <v>10</v>
      </c>
      <c r="E307" s="368"/>
      <c r="F307" s="368"/>
      <c r="G307" s="368"/>
      <c r="H307" s="368"/>
      <c r="I307" s="368"/>
      <c r="J307" s="368">
        <v>97.3</v>
      </c>
      <c r="K307" s="368"/>
      <c r="L307" s="368"/>
      <c r="M307" s="368"/>
      <c r="N307" s="368"/>
      <c r="O307" s="368"/>
      <c r="P307" s="368"/>
      <c r="Q307" s="620">
        <f t="shared" si="24"/>
        <v>97.3</v>
      </c>
      <c r="R307" s="331" t="str">
        <f t="shared" si="23"/>
        <v>NO</v>
      </c>
      <c r="S307" s="347" t="str">
        <f t="shared" si="22"/>
        <v>Inviable Sanitariamente</v>
      </c>
      <c r="T307" s="16"/>
    </row>
    <row r="308" spans="1:20" ht="32.1" customHeight="1">
      <c r="A308" s="452" t="s">
        <v>169</v>
      </c>
      <c r="B308" s="344" t="s">
        <v>1952</v>
      </c>
      <c r="C308" s="349" t="s">
        <v>2158</v>
      </c>
      <c r="D308" s="345">
        <v>50</v>
      </c>
      <c r="E308" s="641"/>
      <c r="F308" s="641"/>
      <c r="G308" s="641"/>
      <c r="H308" s="641"/>
      <c r="I308" s="641">
        <v>96.4</v>
      </c>
      <c r="J308" s="641"/>
      <c r="K308" s="641">
        <v>96.4</v>
      </c>
      <c r="L308" s="641"/>
      <c r="M308" s="641"/>
      <c r="N308" s="641">
        <v>96.4</v>
      </c>
      <c r="O308" s="641"/>
      <c r="P308" s="641"/>
      <c r="Q308" s="620">
        <f t="shared" si="24"/>
        <v>96.40000000000002</v>
      </c>
      <c r="R308" s="331" t="str">
        <f t="shared" si="23"/>
        <v>NO</v>
      </c>
      <c r="S308" s="347" t="str">
        <f t="shared" si="22"/>
        <v>Inviable Sanitariamente</v>
      </c>
      <c r="T308" s="16"/>
    </row>
    <row r="309" spans="1:20" ht="32.1" customHeight="1">
      <c r="A309" s="452" t="s">
        <v>169</v>
      </c>
      <c r="B309" s="344" t="s">
        <v>2159</v>
      </c>
      <c r="C309" s="349" t="s">
        <v>2160</v>
      </c>
      <c r="D309" s="345">
        <v>44</v>
      </c>
      <c r="E309" s="641"/>
      <c r="F309" s="641"/>
      <c r="G309" s="641"/>
      <c r="H309" s="641"/>
      <c r="I309" s="641"/>
      <c r="J309" s="641"/>
      <c r="K309" s="641"/>
      <c r="L309" s="641"/>
      <c r="M309" s="641">
        <v>96.4</v>
      </c>
      <c r="N309" s="641"/>
      <c r="O309" s="641"/>
      <c r="P309" s="641"/>
      <c r="Q309" s="620">
        <f t="shared" si="24"/>
        <v>96.4</v>
      </c>
      <c r="R309" s="331" t="str">
        <f t="shared" si="23"/>
        <v>NO</v>
      </c>
      <c r="S309" s="347" t="str">
        <f t="shared" si="22"/>
        <v>Inviable Sanitariamente</v>
      </c>
      <c r="T309" s="16"/>
    </row>
    <row r="310" spans="1:20" ht="32.1" customHeight="1">
      <c r="A310" s="595" t="s">
        <v>169</v>
      </c>
      <c r="B310" s="595" t="s">
        <v>2065</v>
      </c>
      <c r="C310" s="598" t="s">
        <v>2161</v>
      </c>
      <c r="D310" s="304">
        <v>14</v>
      </c>
      <c r="E310" s="368"/>
      <c r="F310" s="368"/>
      <c r="G310" s="368"/>
      <c r="H310" s="368"/>
      <c r="I310" s="368"/>
      <c r="J310" s="368">
        <v>97.35</v>
      </c>
      <c r="K310" s="368"/>
      <c r="L310" s="368"/>
      <c r="M310" s="368"/>
      <c r="N310" s="368"/>
      <c r="O310" s="368"/>
      <c r="P310" s="368"/>
      <c r="Q310" s="620">
        <f t="shared" si="24"/>
        <v>97.35</v>
      </c>
      <c r="R310" s="331" t="str">
        <f t="shared" si="23"/>
        <v>NO</v>
      </c>
      <c r="S310" s="347" t="str">
        <f t="shared" si="22"/>
        <v>Inviable Sanitariamente</v>
      </c>
      <c r="T310" s="16"/>
    </row>
    <row r="311" spans="1:20" ht="32.1" customHeight="1">
      <c r="A311" s="597" t="s">
        <v>169</v>
      </c>
      <c r="B311" s="609" t="s">
        <v>555</v>
      </c>
      <c r="C311" s="598" t="s">
        <v>2162</v>
      </c>
      <c r="D311" s="418">
        <v>25</v>
      </c>
      <c r="E311" s="641"/>
      <c r="F311" s="641"/>
      <c r="G311" s="641">
        <v>97.4</v>
      </c>
      <c r="H311" s="641"/>
      <c r="I311" s="641"/>
      <c r="J311" s="641"/>
      <c r="K311" s="641"/>
      <c r="L311" s="641"/>
      <c r="M311" s="641"/>
      <c r="N311" s="641"/>
      <c r="O311" s="641"/>
      <c r="P311" s="641"/>
      <c r="Q311" s="620">
        <f t="shared" si="24"/>
        <v>97.4</v>
      </c>
      <c r="R311" s="331" t="str">
        <f t="shared" si="23"/>
        <v>NO</v>
      </c>
      <c r="S311" s="347" t="str">
        <f t="shared" si="22"/>
        <v>Inviable Sanitariamente</v>
      </c>
      <c r="T311" s="16"/>
    </row>
    <row r="312" spans="1:20" ht="32.1" customHeight="1">
      <c r="A312" s="597" t="s">
        <v>169</v>
      </c>
      <c r="B312" s="595" t="s">
        <v>2163</v>
      </c>
      <c r="C312" s="598" t="s">
        <v>2164</v>
      </c>
      <c r="D312" s="345">
        <v>18</v>
      </c>
      <c r="E312" s="641"/>
      <c r="F312" s="641"/>
      <c r="G312" s="641"/>
      <c r="H312" s="641"/>
      <c r="I312" s="641">
        <v>94.6</v>
      </c>
      <c r="J312" s="641"/>
      <c r="K312" s="641"/>
      <c r="L312" s="641"/>
      <c r="M312" s="641"/>
      <c r="N312" s="641"/>
      <c r="O312" s="641"/>
      <c r="P312" s="641"/>
      <c r="Q312" s="620">
        <f t="shared" si="24"/>
        <v>94.6</v>
      </c>
      <c r="R312" s="331" t="str">
        <f t="shared" si="23"/>
        <v>NO</v>
      </c>
      <c r="S312" s="347" t="str">
        <f t="shared" si="22"/>
        <v>Inviable Sanitariamente</v>
      </c>
      <c r="T312" s="16"/>
    </row>
    <row r="313" spans="1:20" ht="32.1" customHeight="1">
      <c r="A313" s="597" t="s">
        <v>169</v>
      </c>
      <c r="B313" s="595" t="s">
        <v>2165</v>
      </c>
      <c r="C313" s="598" t="s">
        <v>2166</v>
      </c>
      <c r="D313" s="418">
        <v>43</v>
      </c>
      <c r="E313" s="641"/>
      <c r="F313" s="641"/>
      <c r="G313" s="641">
        <v>97.4</v>
      </c>
      <c r="H313" s="641"/>
      <c r="I313" s="641"/>
      <c r="J313" s="641"/>
      <c r="K313" s="641"/>
      <c r="L313" s="641"/>
      <c r="M313" s="641"/>
      <c r="N313" s="641"/>
      <c r="O313" s="641"/>
      <c r="P313" s="641"/>
      <c r="Q313" s="620">
        <f t="shared" si="24"/>
        <v>97.4</v>
      </c>
      <c r="R313" s="331" t="str">
        <f t="shared" si="23"/>
        <v>NO</v>
      </c>
      <c r="S313" s="347" t="str">
        <f t="shared" si="22"/>
        <v>Inviable Sanitariamente</v>
      </c>
      <c r="T313" s="16"/>
    </row>
    <row r="314" spans="1:20" ht="32.1" customHeight="1">
      <c r="A314" s="595" t="s">
        <v>169</v>
      </c>
      <c r="B314" s="595" t="s">
        <v>10</v>
      </c>
      <c r="C314" s="598" t="s">
        <v>2167</v>
      </c>
      <c r="D314" s="304">
        <v>14</v>
      </c>
      <c r="E314" s="368"/>
      <c r="F314" s="368"/>
      <c r="G314" s="368"/>
      <c r="H314" s="368"/>
      <c r="I314" s="368"/>
      <c r="J314" s="368">
        <v>100</v>
      </c>
      <c r="K314" s="368"/>
      <c r="L314" s="368"/>
      <c r="M314" s="368"/>
      <c r="N314" s="368"/>
      <c r="O314" s="368"/>
      <c r="P314" s="368"/>
      <c r="Q314" s="620">
        <f t="shared" si="24"/>
        <v>100</v>
      </c>
      <c r="R314" s="331" t="str">
        <f t="shared" si="23"/>
        <v>NO</v>
      </c>
      <c r="S314" s="347" t="str">
        <f t="shared" si="22"/>
        <v>Inviable Sanitariamente</v>
      </c>
      <c r="T314" s="16"/>
    </row>
    <row r="315" spans="1:20" ht="32.1" customHeight="1">
      <c r="A315" s="595" t="s">
        <v>169</v>
      </c>
      <c r="B315" s="595" t="s">
        <v>652</v>
      </c>
      <c r="C315" s="598" t="s">
        <v>2168</v>
      </c>
      <c r="D315" s="304">
        <v>35</v>
      </c>
      <c r="E315" s="368"/>
      <c r="F315" s="368"/>
      <c r="G315" s="368"/>
      <c r="H315" s="368">
        <v>97.35</v>
      </c>
      <c r="I315" s="368"/>
      <c r="J315" s="368"/>
      <c r="K315" s="368"/>
      <c r="L315" s="368">
        <v>97.35</v>
      </c>
      <c r="M315" s="368"/>
      <c r="N315" s="368"/>
      <c r="O315" s="368"/>
      <c r="P315" s="368"/>
      <c r="Q315" s="620">
        <f t="shared" si="24"/>
        <v>97.35</v>
      </c>
      <c r="R315" s="331" t="str">
        <f t="shared" si="23"/>
        <v>NO</v>
      </c>
      <c r="S315" s="347" t="str">
        <f t="shared" si="22"/>
        <v>Inviable Sanitariamente</v>
      </c>
      <c r="T315" s="16"/>
    </row>
    <row r="316" spans="1:20" ht="32.1" customHeight="1">
      <c r="A316" s="452" t="s">
        <v>169</v>
      </c>
      <c r="B316" s="344" t="s">
        <v>2169</v>
      </c>
      <c r="C316" s="349" t="s">
        <v>2170</v>
      </c>
      <c r="D316" s="304">
        <v>11</v>
      </c>
      <c r="E316" s="641"/>
      <c r="F316" s="641"/>
      <c r="G316" s="641"/>
      <c r="H316" s="641"/>
      <c r="I316" s="641"/>
      <c r="J316" s="641"/>
      <c r="K316" s="641"/>
      <c r="L316" s="641"/>
      <c r="M316" s="641"/>
      <c r="N316" s="641">
        <v>0</v>
      </c>
      <c r="O316" s="641"/>
      <c r="P316" s="641"/>
      <c r="Q316" s="620">
        <f t="shared" si="24"/>
        <v>0</v>
      </c>
      <c r="R316" s="331" t="str">
        <f t="shared" si="23"/>
        <v>SI</v>
      </c>
      <c r="S316" s="347" t="str">
        <f t="shared" si="22"/>
        <v>Sin Riesgo</v>
      </c>
      <c r="T316" s="16"/>
    </row>
    <row r="317" spans="1:20" ht="32.1" customHeight="1">
      <c r="A317" s="452" t="s">
        <v>169</v>
      </c>
      <c r="B317" s="344" t="s">
        <v>2171</v>
      </c>
      <c r="C317" s="349" t="s">
        <v>2172</v>
      </c>
      <c r="D317" s="418">
        <v>18</v>
      </c>
      <c r="E317" s="641"/>
      <c r="F317" s="641"/>
      <c r="G317" s="641"/>
      <c r="H317" s="641"/>
      <c r="I317" s="641">
        <v>96.4</v>
      </c>
      <c r="J317" s="641"/>
      <c r="K317" s="641">
        <v>96.4</v>
      </c>
      <c r="L317" s="641"/>
      <c r="M317" s="641"/>
      <c r="N317" s="641"/>
      <c r="O317" s="641"/>
      <c r="P317" s="641"/>
      <c r="Q317" s="620">
        <f t="shared" si="24"/>
        <v>96.4</v>
      </c>
      <c r="R317" s="331" t="str">
        <f t="shared" si="23"/>
        <v>NO</v>
      </c>
      <c r="S317" s="347" t="str">
        <f t="shared" si="22"/>
        <v>Inviable Sanitariamente</v>
      </c>
      <c r="T317" s="16"/>
    </row>
    <row r="318" spans="1:20" ht="32.1" customHeight="1">
      <c r="A318" s="452" t="s">
        <v>169</v>
      </c>
      <c r="B318" s="344" t="s">
        <v>2173</v>
      </c>
      <c r="C318" s="349" t="s">
        <v>2174</v>
      </c>
      <c r="D318" s="304">
        <v>18</v>
      </c>
      <c r="E318" s="641"/>
      <c r="F318" s="641"/>
      <c r="G318" s="641"/>
      <c r="H318" s="641"/>
      <c r="I318" s="641">
        <v>96.4</v>
      </c>
      <c r="J318" s="641"/>
      <c r="K318" s="641"/>
      <c r="L318" s="641"/>
      <c r="M318" s="641"/>
      <c r="N318" s="641"/>
      <c r="O318" s="641"/>
      <c r="P318" s="641"/>
      <c r="Q318" s="620">
        <f t="shared" si="24"/>
        <v>96.4</v>
      </c>
      <c r="R318" s="331" t="str">
        <f t="shared" si="23"/>
        <v>NO</v>
      </c>
      <c r="S318" s="347" t="str">
        <f t="shared" si="22"/>
        <v>Inviable Sanitariamente</v>
      </c>
      <c r="T318" s="16"/>
    </row>
    <row r="319" spans="1:20" ht="32.1" customHeight="1">
      <c r="A319" s="452" t="s">
        <v>169</v>
      </c>
      <c r="B319" s="344" t="s">
        <v>2175</v>
      </c>
      <c r="C319" s="349" t="s">
        <v>2176</v>
      </c>
      <c r="D319" s="418">
        <v>36</v>
      </c>
      <c r="E319" s="641"/>
      <c r="F319" s="641"/>
      <c r="G319" s="641">
        <v>97.4</v>
      </c>
      <c r="H319" s="641"/>
      <c r="I319" s="641"/>
      <c r="J319" s="641"/>
      <c r="K319" s="641"/>
      <c r="L319" s="641"/>
      <c r="M319" s="641">
        <v>96.4</v>
      </c>
      <c r="N319" s="641"/>
      <c r="O319" s="641"/>
      <c r="P319" s="641"/>
      <c r="Q319" s="620">
        <f t="shared" si="24"/>
        <v>96.9</v>
      </c>
      <c r="R319" s="331" t="str">
        <f t="shared" si="23"/>
        <v>NO</v>
      </c>
      <c r="S319" s="347" t="str">
        <f t="shared" si="22"/>
        <v>Inviable Sanitariamente</v>
      </c>
      <c r="T319" s="16"/>
    </row>
    <row r="320" spans="1:20" ht="32.1" customHeight="1">
      <c r="A320" s="452" t="s">
        <v>169</v>
      </c>
      <c r="B320" s="340" t="s">
        <v>2177</v>
      </c>
      <c r="C320" s="350" t="s">
        <v>2178</v>
      </c>
      <c r="D320" s="418">
        <v>118</v>
      </c>
      <c r="E320" s="641"/>
      <c r="F320" s="641">
        <v>97.4</v>
      </c>
      <c r="G320" s="641"/>
      <c r="H320" s="641"/>
      <c r="I320" s="641"/>
      <c r="J320" s="641"/>
      <c r="K320" s="641"/>
      <c r="L320" s="641"/>
      <c r="M320" s="641"/>
      <c r="N320" s="641"/>
      <c r="O320" s="641">
        <v>96.4</v>
      </c>
      <c r="P320" s="641"/>
      <c r="Q320" s="620">
        <f t="shared" si="24"/>
        <v>96.9</v>
      </c>
      <c r="R320" s="331" t="str">
        <f t="shared" si="23"/>
        <v>NO</v>
      </c>
      <c r="S320" s="347" t="str">
        <f t="shared" si="22"/>
        <v>Inviable Sanitariamente</v>
      </c>
      <c r="T320" s="16"/>
    </row>
    <row r="321" spans="1:20" ht="32.1" customHeight="1">
      <c r="A321" s="452" t="s">
        <v>169</v>
      </c>
      <c r="B321" s="340" t="s">
        <v>2179</v>
      </c>
      <c r="C321" s="350" t="s">
        <v>2180</v>
      </c>
      <c r="D321" s="419">
        <v>64</v>
      </c>
      <c r="E321" s="641"/>
      <c r="F321" s="641"/>
      <c r="G321" s="641"/>
      <c r="H321" s="641"/>
      <c r="I321" s="641">
        <v>96.4</v>
      </c>
      <c r="J321" s="641"/>
      <c r="K321" s="641"/>
      <c r="L321" s="641"/>
      <c r="M321" s="641"/>
      <c r="N321" s="641">
        <v>96.4</v>
      </c>
      <c r="O321" s="641"/>
      <c r="P321" s="641"/>
      <c r="Q321" s="620">
        <f t="shared" si="24"/>
        <v>96.4</v>
      </c>
      <c r="R321" s="331" t="str">
        <f t="shared" si="23"/>
        <v>NO</v>
      </c>
      <c r="S321" s="347" t="str">
        <f t="shared" si="22"/>
        <v>Inviable Sanitariamente</v>
      </c>
      <c r="T321" s="16"/>
    </row>
    <row r="322" spans="1:20" ht="32.1" customHeight="1">
      <c r="A322" s="452" t="s">
        <v>169</v>
      </c>
      <c r="B322" s="344" t="s">
        <v>2181</v>
      </c>
      <c r="C322" s="349" t="s">
        <v>2182</v>
      </c>
      <c r="D322" s="418">
        <v>57</v>
      </c>
      <c r="E322" s="641"/>
      <c r="F322" s="641"/>
      <c r="G322" s="641">
        <v>96.4</v>
      </c>
      <c r="H322" s="641"/>
      <c r="I322" s="641"/>
      <c r="J322" s="641"/>
      <c r="K322" s="641"/>
      <c r="L322" s="641"/>
      <c r="M322" s="641"/>
      <c r="N322" s="641"/>
      <c r="O322" s="641"/>
      <c r="P322" s="641"/>
      <c r="Q322" s="620">
        <f t="shared" si="24"/>
        <v>96.4</v>
      </c>
      <c r="R322" s="331" t="str">
        <f t="shared" si="23"/>
        <v>NO</v>
      </c>
      <c r="S322" s="347" t="str">
        <f t="shared" si="22"/>
        <v>Inviable Sanitariamente</v>
      </c>
      <c r="T322" s="16"/>
    </row>
    <row r="323" spans="1:20" ht="32.1" customHeight="1">
      <c r="A323" s="452" t="s">
        <v>169</v>
      </c>
      <c r="B323" s="344" t="s">
        <v>2183</v>
      </c>
      <c r="C323" s="349" t="s">
        <v>2184</v>
      </c>
      <c r="D323" s="418">
        <v>40</v>
      </c>
      <c r="E323" s="641"/>
      <c r="F323" s="641">
        <v>0</v>
      </c>
      <c r="G323" s="641"/>
      <c r="H323" s="641"/>
      <c r="I323" s="641"/>
      <c r="J323" s="641"/>
      <c r="K323" s="641"/>
      <c r="L323" s="641"/>
      <c r="M323" s="641">
        <v>0</v>
      </c>
      <c r="N323" s="641"/>
      <c r="O323" s="641"/>
      <c r="P323" s="641"/>
      <c r="Q323" s="620">
        <f t="shared" si="24"/>
        <v>0</v>
      </c>
      <c r="R323" s="331" t="str">
        <f t="shared" si="23"/>
        <v>SI</v>
      </c>
      <c r="S323" s="347" t="str">
        <f t="shared" si="22"/>
        <v>Sin Riesgo</v>
      </c>
      <c r="T323" s="16"/>
    </row>
    <row r="324" spans="1:20" ht="32.1" customHeight="1">
      <c r="A324" s="452" t="s">
        <v>169</v>
      </c>
      <c r="B324" s="344" t="s">
        <v>2185</v>
      </c>
      <c r="C324" s="349" t="s">
        <v>2186</v>
      </c>
      <c r="D324" s="418">
        <v>59</v>
      </c>
      <c r="E324" s="641"/>
      <c r="F324" s="641">
        <v>0</v>
      </c>
      <c r="G324" s="641"/>
      <c r="H324" s="641"/>
      <c r="I324" s="641"/>
      <c r="J324" s="641"/>
      <c r="K324" s="641"/>
      <c r="L324" s="641"/>
      <c r="M324" s="641">
        <v>0</v>
      </c>
      <c r="N324" s="641"/>
      <c r="O324" s="641"/>
      <c r="P324" s="641"/>
      <c r="Q324" s="620">
        <f t="shared" si="24"/>
        <v>0</v>
      </c>
      <c r="R324" s="331" t="str">
        <f t="shared" si="23"/>
        <v>SI</v>
      </c>
      <c r="S324" s="347" t="str">
        <f t="shared" si="22"/>
        <v>Sin Riesgo</v>
      </c>
      <c r="T324" s="16"/>
    </row>
    <row r="325" spans="1:20" ht="32.1" customHeight="1">
      <c r="A325" s="452" t="s">
        <v>169</v>
      </c>
      <c r="B325" s="344" t="s">
        <v>2187</v>
      </c>
      <c r="C325" s="349" t="s">
        <v>2188</v>
      </c>
      <c r="D325" s="418">
        <v>25</v>
      </c>
      <c r="E325" s="641"/>
      <c r="F325" s="641"/>
      <c r="G325" s="641"/>
      <c r="H325" s="641"/>
      <c r="I325" s="641">
        <v>96.4</v>
      </c>
      <c r="J325" s="641"/>
      <c r="K325" s="641"/>
      <c r="L325" s="641"/>
      <c r="M325" s="641"/>
      <c r="N325" s="641">
        <v>96.4</v>
      </c>
      <c r="O325" s="641"/>
      <c r="P325" s="641"/>
      <c r="Q325" s="620">
        <f t="shared" si="24"/>
        <v>96.4</v>
      </c>
      <c r="R325" s="331" t="str">
        <f t="shared" si="23"/>
        <v>NO</v>
      </c>
      <c r="S325" s="347" t="str">
        <f t="shared" si="22"/>
        <v>Inviable Sanitariamente</v>
      </c>
      <c r="T325" s="16"/>
    </row>
    <row r="326" spans="1:20" ht="32.1" customHeight="1">
      <c r="A326" s="452" t="s">
        <v>170</v>
      </c>
      <c r="B326" s="356" t="s">
        <v>2189</v>
      </c>
      <c r="C326" s="349" t="s">
        <v>2190</v>
      </c>
      <c r="D326" s="346">
        <v>32</v>
      </c>
      <c r="E326" s="445"/>
      <c r="F326" s="445"/>
      <c r="G326" s="445"/>
      <c r="H326" s="445"/>
      <c r="I326" s="445">
        <v>96.4</v>
      </c>
      <c r="J326" s="445"/>
      <c r="K326" s="445"/>
      <c r="L326" s="445"/>
      <c r="M326" s="445"/>
      <c r="N326" s="445"/>
      <c r="O326" s="368"/>
      <c r="P326" s="368"/>
      <c r="Q326" s="620">
        <f t="shared" si="24"/>
        <v>96.4</v>
      </c>
      <c r="R326" s="331" t="str">
        <f t="shared" si="23"/>
        <v>NO</v>
      </c>
      <c r="S326" s="347" t="str">
        <f t="shared" si="22"/>
        <v>Inviable Sanitariamente</v>
      </c>
      <c r="T326" s="16"/>
    </row>
    <row r="327" spans="1:20" ht="32.1" customHeight="1">
      <c r="A327" s="452" t="s">
        <v>170</v>
      </c>
      <c r="B327" s="356" t="s">
        <v>2191</v>
      </c>
      <c r="C327" s="349" t="s">
        <v>2192</v>
      </c>
      <c r="D327" s="346">
        <v>22</v>
      </c>
      <c r="E327" s="445"/>
      <c r="F327" s="445"/>
      <c r="G327" s="445"/>
      <c r="H327" s="445"/>
      <c r="I327" s="445">
        <v>96.4</v>
      </c>
      <c r="J327" s="445"/>
      <c r="K327" s="445"/>
      <c r="L327" s="445"/>
      <c r="M327" s="445"/>
      <c r="N327" s="445"/>
      <c r="O327" s="368"/>
      <c r="P327" s="368"/>
      <c r="Q327" s="620">
        <f t="shared" si="24"/>
        <v>96.4</v>
      </c>
      <c r="R327" s="331" t="str">
        <f t="shared" si="23"/>
        <v>NO</v>
      </c>
      <c r="S327" s="347" t="str">
        <f t="shared" si="22"/>
        <v>Inviable Sanitariamente</v>
      </c>
      <c r="T327" s="16"/>
    </row>
    <row r="328" spans="1:20" ht="32.1" customHeight="1">
      <c r="A328" s="452" t="s">
        <v>170</v>
      </c>
      <c r="B328" s="356" t="s">
        <v>2193</v>
      </c>
      <c r="C328" s="349" t="s">
        <v>2194</v>
      </c>
      <c r="D328" s="399">
        <v>29</v>
      </c>
      <c r="E328" s="445"/>
      <c r="F328" s="445"/>
      <c r="G328" s="445"/>
      <c r="H328" s="445"/>
      <c r="I328" s="445">
        <v>96.4</v>
      </c>
      <c r="J328" s="445"/>
      <c r="K328" s="445"/>
      <c r="L328" s="445"/>
      <c r="M328" s="445"/>
      <c r="N328" s="445"/>
      <c r="O328" s="368"/>
      <c r="P328" s="368"/>
      <c r="Q328" s="620">
        <f t="shared" si="24"/>
        <v>96.4</v>
      </c>
      <c r="R328" s="331" t="str">
        <f t="shared" si="23"/>
        <v>NO</v>
      </c>
      <c r="S328" s="347" t="str">
        <f t="shared" si="22"/>
        <v>Inviable Sanitariamente</v>
      </c>
      <c r="T328" s="16"/>
    </row>
    <row r="329" spans="1:20" ht="32.1" customHeight="1">
      <c r="A329" s="452" t="s">
        <v>170</v>
      </c>
      <c r="B329" s="356" t="s">
        <v>2195</v>
      </c>
      <c r="C329" s="349" t="s">
        <v>2196</v>
      </c>
      <c r="D329" s="346">
        <v>29</v>
      </c>
      <c r="E329" s="445"/>
      <c r="F329" s="445"/>
      <c r="G329" s="445"/>
      <c r="H329" s="445"/>
      <c r="I329" s="445">
        <v>96.4</v>
      </c>
      <c r="J329" s="445"/>
      <c r="K329" s="445"/>
      <c r="L329" s="445"/>
      <c r="M329" s="445"/>
      <c r="N329" s="445"/>
      <c r="O329" s="368"/>
      <c r="P329" s="368"/>
      <c r="Q329" s="620">
        <f t="shared" si="24"/>
        <v>96.4</v>
      </c>
      <c r="R329" s="331" t="str">
        <f t="shared" si="23"/>
        <v>NO</v>
      </c>
      <c r="S329" s="347" t="str">
        <f t="shared" si="22"/>
        <v>Inviable Sanitariamente</v>
      </c>
      <c r="T329" s="16"/>
    </row>
    <row r="330" spans="1:20" ht="32.1" customHeight="1">
      <c r="A330" s="452" t="s">
        <v>170</v>
      </c>
      <c r="B330" s="356" t="s">
        <v>2197</v>
      </c>
      <c r="C330" s="349" t="s">
        <v>2198</v>
      </c>
      <c r="D330" s="346">
        <v>34</v>
      </c>
      <c r="E330" s="445"/>
      <c r="F330" s="445"/>
      <c r="G330" s="445"/>
      <c r="H330" s="445"/>
      <c r="I330" s="445">
        <v>96.4</v>
      </c>
      <c r="J330" s="445"/>
      <c r="K330" s="445"/>
      <c r="L330" s="445"/>
      <c r="M330" s="445"/>
      <c r="N330" s="445"/>
      <c r="O330" s="368"/>
      <c r="P330" s="368"/>
      <c r="Q330" s="620">
        <f t="shared" si="24"/>
        <v>96.4</v>
      </c>
      <c r="R330" s="331" t="str">
        <f t="shared" si="23"/>
        <v>NO</v>
      </c>
      <c r="S330" s="347" t="str">
        <f t="shared" si="22"/>
        <v>Inviable Sanitariamente</v>
      </c>
      <c r="T330" s="16"/>
    </row>
    <row r="331" spans="1:20" ht="32.1" customHeight="1">
      <c r="A331" s="452" t="s">
        <v>170</v>
      </c>
      <c r="B331" s="356" t="s">
        <v>2199</v>
      </c>
      <c r="C331" s="349" t="s">
        <v>2200</v>
      </c>
      <c r="D331" s="346">
        <v>75</v>
      </c>
      <c r="E331" s="445"/>
      <c r="F331" s="445"/>
      <c r="G331" s="445"/>
      <c r="H331" s="445"/>
      <c r="I331" s="445">
        <v>96.4</v>
      </c>
      <c r="J331" s="445"/>
      <c r="K331" s="445"/>
      <c r="L331" s="445"/>
      <c r="M331" s="445"/>
      <c r="N331" s="445"/>
      <c r="O331" s="368"/>
      <c r="P331" s="368"/>
      <c r="Q331" s="620">
        <f t="shared" si="24"/>
        <v>96.4</v>
      </c>
      <c r="R331" s="331" t="str">
        <f t="shared" si="23"/>
        <v>NO</v>
      </c>
      <c r="S331" s="347" t="str">
        <f t="shared" si="22"/>
        <v>Inviable Sanitariamente</v>
      </c>
      <c r="T331" s="16"/>
    </row>
    <row r="332" spans="1:20" ht="32.1" customHeight="1">
      <c r="A332" s="452" t="s">
        <v>171</v>
      </c>
      <c r="B332" s="344" t="s">
        <v>2201</v>
      </c>
      <c r="C332" s="349" t="s">
        <v>2202</v>
      </c>
      <c r="D332" s="418">
        <v>51</v>
      </c>
      <c r="E332" s="641"/>
      <c r="F332" s="641"/>
      <c r="G332" s="641"/>
      <c r="H332" s="641"/>
      <c r="I332" s="641">
        <v>27</v>
      </c>
      <c r="J332" s="641"/>
      <c r="K332" s="641"/>
      <c r="L332" s="641"/>
      <c r="M332" s="641"/>
      <c r="N332" s="641"/>
      <c r="O332" s="641"/>
      <c r="P332" s="641"/>
      <c r="Q332" s="620">
        <f t="shared" si="24"/>
        <v>27</v>
      </c>
      <c r="R332" s="331" t="str">
        <f t="shared" si="23"/>
        <v>NO</v>
      </c>
      <c r="S332" s="347" t="str">
        <f t="shared" si="22"/>
        <v>Medio</v>
      </c>
      <c r="T332" s="16"/>
    </row>
    <row r="333" spans="1:20" ht="32.1" customHeight="1">
      <c r="A333" s="452" t="s">
        <v>171</v>
      </c>
      <c r="B333" s="344" t="s">
        <v>2203</v>
      </c>
      <c r="C333" s="349" t="s">
        <v>2204</v>
      </c>
      <c r="D333" s="418">
        <v>21</v>
      </c>
      <c r="E333" s="641"/>
      <c r="F333" s="641"/>
      <c r="G333" s="641"/>
      <c r="H333" s="641">
        <v>21</v>
      </c>
      <c r="I333" s="641"/>
      <c r="J333" s="641"/>
      <c r="K333" s="641"/>
      <c r="L333" s="641"/>
      <c r="M333" s="641"/>
      <c r="N333" s="641">
        <v>42</v>
      </c>
      <c r="O333" s="641"/>
      <c r="P333" s="641"/>
      <c r="Q333" s="620">
        <f t="shared" si="24"/>
        <v>31.5</v>
      </c>
      <c r="R333" s="331" t="str">
        <f t="shared" si="23"/>
        <v>NO</v>
      </c>
      <c r="S333" s="347" t="str">
        <f t="shared" si="22"/>
        <v>Medio</v>
      </c>
      <c r="T333" s="16"/>
    </row>
    <row r="334" spans="1:20" ht="32.1" customHeight="1">
      <c r="A334" s="452" t="s">
        <v>171</v>
      </c>
      <c r="B334" s="344" t="s">
        <v>2205</v>
      </c>
      <c r="C334" s="349" t="s">
        <v>2206</v>
      </c>
      <c r="D334" s="418">
        <v>24</v>
      </c>
      <c r="E334" s="641"/>
      <c r="F334" s="641"/>
      <c r="G334" s="641"/>
      <c r="H334" s="641"/>
      <c r="I334" s="641">
        <v>42</v>
      </c>
      <c r="J334" s="641"/>
      <c r="K334" s="641"/>
      <c r="L334" s="641"/>
      <c r="M334" s="641"/>
      <c r="N334" s="641"/>
      <c r="O334" s="641"/>
      <c r="P334" s="641"/>
      <c r="Q334" s="620">
        <f t="shared" si="24"/>
        <v>42</v>
      </c>
      <c r="R334" s="331" t="str">
        <f t="shared" si="23"/>
        <v>NO</v>
      </c>
      <c r="S334" s="347" t="str">
        <f t="shared" ref="S334:S397" si="25">IF(Q334&lt;5,"Sin Riesgo",IF(Q334 &lt;=14,"Bajo",IF(Q334&lt;=35,"Medio",IF(Q334&lt;=80,"Alto","Inviable Sanitariamente"))))</f>
        <v>Alto</v>
      </c>
      <c r="T334" s="16"/>
    </row>
    <row r="335" spans="1:20" ht="32.1" customHeight="1">
      <c r="A335" s="452" t="s">
        <v>171</v>
      </c>
      <c r="B335" s="344" t="s">
        <v>2207</v>
      </c>
      <c r="C335" s="349" t="s">
        <v>2208</v>
      </c>
      <c r="D335" s="418">
        <v>33</v>
      </c>
      <c r="E335" s="641"/>
      <c r="F335" s="641"/>
      <c r="G335" s="641"/>
      <c r="H335" s="641">
        <v>21</v>
      </c>
      <c r="I335" s="641"/>
      <c r="J335" s="641"/>
      <c r="K335" s="641"/>
      <c r="L335" s="641"/>
      <c r="M335" s="641"/>
      <c r="N335" s="641"/>
      <c r="O335" s="641"/>
      <c r="P335" s="641"/>
      <c r="Q335" s="620">
        <f t="shared" si="24"/>
        <v>21</v>
      </c>
      <c r="R335" s="331" t="str">
        <f t="shared" si="23"/>
        <v>NO</v>
      </c>
      <c r="S335" s="347" t="str">
        <f t="shared" si="25"/>
        <v>Medio</v>
      </c>
      <c r="T335" s="16"/>
    </row>
    <row r="336" spans="1:20" ht="32.1" customHeight="1">
      <c r="A336" s="452" t="s">
        <v>171</v>
      </c>
      <c r="B336" s="344" t="s">
        <v>2209</v>
      </c>
      <c r="C336" s="349" t="s">
        <v>2210</v>
      </c>
      <c r="D336" s="418">
        <v>75</v>
      </c>
      <c r="E336" s="641"/>
      <c r="F336" s="641"/>
      <c r="G336" s="641">
        <v>21</v>
      </c>
      <c r="H336" s="641"/>
      <c r="I336" s="641"/>
      <c r="J336" s="641"/>
      <c r="K336" s="641"/>
      <c r="L336" s="641"/>
      <c r="M336" s="641"/>
      <c r="N336" s="641"/>
      <c r="O336" s="641"/>
      <c r="P336" s="641"/>
      <c r="Q336" s="620">
        <f t="shared" si="24"/>
        <v>21</v>
      </c>
      <c r="R336" s="331" t="str">
        <f t="shared" si="23"/>
        <v>NO</v>
      </c>
      <c r="S336" s="347" t="str">
        <f t="shared" si="25"/>
        <v>Medio</v>
      </c>
      <c r="T336" s="16"/>
    </row>
    <row r="337" spans="1:20" ht="32.1" customHeight="1">
      <c r="A337" s="452" t="s">
        <v>171</v>
      </c>
      <c r="B337" s="344" t="s">
        <v>2211</v>
      </c>
      <c r="C337" s="349" t="s">
        <v>2212</v>
      </c>
      <c r="D337" s="418">
        <v>44</v>
      </c>
      <c r="E337" s="641"/>
      <c r="F337" s="641"/>
      <c r="G337" s="641">
        <v>42</v>
      </c>
      <c r="H337" s="641"/>
      <c r="I337" s="641"/>
      <c r="J337" s="641"/>
      <c r="K337" s="641"/>
      <c r="L337" s="641"/>
      <c r="M337" s="641"/>
      <c r="N337" s="641"/>
      <c r="O337" s="641"/>
      <c r="P337" s="641"/>
      <c r="Q337" s="620">
        <f t="shared" si="24"/>
        <v>42</v>
      </c>
      <c r="R337" s="331" t="str">
        <f t="shared" si="23"/>
        <v>NO</v>
      </c>
      <c r="S337" s="347" t="str">
        <f t="shared" si="25"/>
        <v>Alto</v>
      </c>
      <c r="T337" s="16"/>
    </row>
    <row r="338" spans="1:20" ht="32.1" customHeight="1">
      <c r="A338" s="452" t="s">
        <v>171</v>
      </c>
      <c r="B338" s="340" t="s">
        <v>2213</v>
      </c>
      <c r="C338" s="350" t="s">
        <v>2214</v>
      </c>
      <c r="D338" s="418">
        <v>67</v>
      </c>
      <c r="E338" s="641"/>
      <c r="F338" s="641"/>
      <c r="G338" s="641">
        <v>42</v>
      </c>
      <c r="H338" s="641"/>
      <c r="I338" s="641"/>
      <c r="J338" s="641"/>
      <c r="K338" s="641"/>
      <c r="L338" s="641"/>
      <c r="M338" s="641"/>
      <c r="N338" s="641"/>
      <c r="O338" s="641"/>
      <c r="P338" s="641"/>
      <c r="Q338" s="620">
        <f t="shared" si="24"/>
        <v>42</v>
      </c>
      <c r="R338" s="331" t="str">
        <f t="shared" si="23"/>
        <v>NO</v>
      </c>
      <c r="S338" s="347" t="str">
        <f t="shared" si="25"/>
        <v>Alto</v>
      </c>
      <c r="T338" s="16"/>
    </row>
    <row r="339" spans="1:20" ht="32.1" customHeight="1">
      <c r="A339" s="452" t="s">
        <v>171</v>
      </c>
      <c r="B339" s="344" t="s">
        <v>60</v>
      </c>
      <c r="C339" s="349" t="s">
        <v>2215</v>
      </c>
      <c r="D339" s="534">
        <v>24</v>
      </c>
      <c r="E339" s="644"/>
      <c r="F339" s="644"/>
      <c r="G339" s="644"/>
      <c r="H339" s="644">
        <v>42</v>
      </c>
      <c r="I339" s="644"/>
      <c r="J339" s="644"/>
      <c r="K339" s="644"/>
      <c r="L339" s="644"/>
      <c r="M339" s="644"/>
      <c r="N339" s="644"/>
      <c r="O339" s="641"/>
      <c r="P339" s="641"/>
      <c r="Q339" s="620">
        <f t="shared" si="24"/>
        <v>42</v>
      </c>
      <c r="R339" s="331" t="str">
        <f t="shared" si="23"/>
        <v>NO</v>
      </c>
      <c r="S339" s="347" t="str">
        <f t="shared" si="25"/>
        <v>Alto</v>
      </c>
      <c r="T339" s="16"/>
    </row>
    <row r="340" spans="1:20" ht="32.1" customHeight="1">
      <c r="A340" s="452" t="s">
        <v>171</v>
      </c>
      <c r="B340" s="344" t="s">
        <v>2216</v>
      </c>
      <c r="C340" s="349" t="s">
        <v>2217</v>
      </c>
      <c r="D340" s="346">
        <v>35</v>
      </c>
      <c r="E340" s="445"/>
      <c r="F340" s="445"/>
      <c r="G340" s="445">
        <v>42</v>
      </c>
      <c r="H340" s="445"/>
      <c r="I340" s="445"/>
      <c r="J340" s="445"/>
      <c r="K340" s="445"/>
      <c r="L340" s="445"/>
      <c r="M340" s="445"/>
      <c r="N340" s="445"/>
      <c r="O340" s="645"/>
      <c r="P340" s="641"/>
      <c r="Q340" s="620">
        <f t="shared" si="24"/>
        <v>42</v>
      </c>
      <c r="R340" s="331" t="str">
        <f t="shared" si="23"/>
        <v>NO</v>
      </c>
      <c r="S340" s="347" t="str">
        <f t="shared" si="25"/>
        <v>Alto</v>
      </c>
      <c r="T340" s="16"/>
    </row>
    <row r="341" spans="1:20" ht="32.1" customHeight="1">
      <c r="A341" s="452" t="s">
        <v>171</v>
      </c>
      <c r="B341" s="344" t="s">
        <v>2218</v>
      </c>
      <c r="C341" s="349" t="s">
        <v>2219</v>
      </c>
      <c r="D341" s="399">
        <v>25</v>
      </c>
      <c r="E341" s="445"/>
      <c r="F341" s="445"/>
      <c r="G341" s="445"/>
      <c r="H341" s="445">
        <v>42</v>
      </c>
      <c r="I341" s="445"/>
      <c r="J341" s="445"/>
      <c r="K341" s="445"/>
      <c r="L341" s="445"/>
      <c r="M341" s="445"/>
      <c r="N341" s="445"/>
      <c r="O341" s="645"/>
      <c r="P341" s="641"/>
      <c r="Q341" s="620">
        <f t="shared" si="24"/>
        <v>42</v>
      </c>
      <c r="R341" s="331" t="str">
        <f t="shared" si="23"/>
        <v>NO</v>
      </c>
      <c r="S341" s="347" t="str">
        <f t="shared" si="25"/>
        <v>Alto</v>
      </c>
      <c r="T341" s="16"/>
    </row>
    <row r="342" spans="1:20" ht="32.1" customHeight="1">
      <c r="A342" s="452" t="s">
        <v>171</v>
      </c>
      <c r="B342" s="344" t="s">
        <v>2220</v>
      </c>
      <c r="C342" s="349" t="s">
        <v>2221</v>
      </c>
      <c r="D342" s="346">
        <v>233</v>
      </c>
      <c r="E342" s="445"/>
      <c r="F342" s="445"/>
      <c r="G342" s="445">
        <v>0</v>
      </c>
      <c r="H342" s="445"/>
      <c r="I342" s="445"/>
      <c r="J342" s="445"/>
      <c r="K342" s="445"/>
      <c r="L342" s="445"/>
      <c r="M342" s="445"/>
      <c r="N342" s="445"/>
      <c r="O342" s="645"/>
      <c r="P342" s="641"/>
      <c r="Q342" s="620">
        <f t="shared" si="24"/>
        <v>0</v>
      </c>
      <c r="R342" s="331" t="str">
        <f t="shared" si="23"/>
        <v>SI</v>
      </c>
      <c r="S342" s="347" t="str">
        <f t="shared" si="25"/>
        <v>Sin Riesgo</v>
      </c>
      <c r="T342" s="16"/>
    </row>
    <row r="343" spans="1:20" ht="32.1" customHeight="1">
      <c r="A343" s="452" t="s">
        <v>171</v>
      </c>
      <c r="B343" s="344" t="s">
        <v>2222</v>
      </c>
      <c r="C343" s="349" t="s">
        <v>2223</v>
      </c>
      <c r="D343" s="399">
        <v>303</v>
      </c>
      <c r="E343" s="445"/>
      <c r="F343" s="445"/>
      <c r="G343" s="445">
        <v>42</v>
      </c>
      <c r="H343" s="445"/>
      <c r="I343" s="445"/>
      <c r="J343" s="445"/>
      <c r="K343" s="445"/>
      <c r="L343" s="445"/>
      <c r="M343" s="445"/>
      <c r="N343" s="445"/>
      <c r="O343" s="645"/>
      <c r="P343" s="641"/>
      <c r="Q343" s="620">
        <f t="shared" si="24"/>
        <v>42</v>
      </c>
      <c r="R343" s="331" t="str">
        <f t="shared" si="23"/>
        <v>NO</v>
      </c>
      <c r="S343" s="347" t="str">
        <f t="shared" si="25"/>
        <v>Alto</v>
      </c>
      <c r="T343" s="16"/>
    </row>
    <row r="344" spans="1:20" ht="32.1" customHeight="1">
      <c r="A344" s="595" t="s">
        <v>171</v>
      </c>
      <c r="B344" s="595" t="s">
        <v>2224</v>
      </c>
      <c r="C344" s="598" t="s">
        <v>2225</v>
      </c>
      <c r="D344" s="304">
        <v>82</v>
      </c>
      <c r="E344" s="368"/>
      <c r="F344" s="368"/>
      <c r="G344" s="368"/>
      <c r="H344" s="368"/>
      <c r="I344" s="368">
        <v>0</v>
      </c>
      <c r="J344" s="368"/>
      <c r="K344" s="368"/>
      <c r="L344" s="368"/>
      <c r="M344" s="368"/>
      <c r="N344" s="368"/>
      <c r="O344" s="646"/>
      <c r="P344" s="368"/>
      <c r="Q344" s="620">
        <f t="shared" si="24"/>
        <v>0</v>
      </c>
      <c r="R344" s="331" t="str">
        <f t="shared" si="23"/>
        <v>SI</v>
      </c>
      <c r="S344" s="347" t="str">
        <f t="shared" si="25"/>
        <v>Sin Riesgo</v>
      </c>
      <c r="T344" s="16"/>
    </row>
    <row r="345" spans="1:20" ht="32.1" customHeight="1">
      <c r="A345" s="452" t="s">
        <v>171</v>
      </c>
      <c r="B345" s="344" t="s">
        <v>2226</v>
      </c>
      <c r="C345" s="349" t="s">
        <v>2227</v>
      </c>
      <c r="D345" s="346">
        <v>102</v>
      </c>
      <c r="E345" s="445"/>
      <c r="F345" s="445"/>
      <c r="G345" s="445">
        <v>42</v>
      </c>
      <c r="H345" s="445"/>
      <c r="I345" s="445"/>
      <c r="J345" s="445"/>
      <c r="K345" s="445"/>
      <c r="L345" s="445"/>
      <c r="M345" s="445"/>
      <c r="N345" s="445"/>
      <c r="O345" s="645"/>
      <c r="P345" s="641"/>
      <c r="Q345" s="620">
        <f t="shared" si="24"/>
        <v>42</v>
      </c>
      <c r="R345" s="331" t="str">
        <f t="shared" si="23"/>
        <v>NO</v>
      </c>
      <c r="S345" s="347" t="str">
        <f t="shared" si="25"/>
        <v>Alto</v>
      </c>
      <c r="T345" s="16"/>
    </row>
    <row r="346" spans="1:20" ht="32.1" customHeight="1">
      <c r="A346" s="452" t="s">
        <v>171</v>
      </c>
      <c r="B346" s="344" t="s">
        <v>2228</v>
      </c>
      <c r="C346" s="349" t="s">
        <v>2229</v>
      </c>
      <c r="D346" s="346">
        <v>27</v>
      </c>
      <c r="E346" s="445"/>
      <c r="F346" s="445"/>
      <c r="G346" s="445">
        <v>42</v>
      </c>
      <c r="H346" s="445"/>
      <c r="I346" s="445"/>
      <c r="J346" s="445"/>
      <c r="K346" s="445"/>
      <c r="L346" s="445"/>
      <c r="M346" s="445"/>
      <c r="N346" s="445"/>
      <c r="O346" s="645"/>
      <c r="P346" s="641"/>
      <c r="Q346" s="620">
        <f t="shared" si="24"/>
        <v>42</v>
      </c>
      <c r="R346" s="331" t="str">
        <f t="shared" si="23"/>
        <v>NO</v>
      </c>
      <c r="S346" s="347" t="str">
        <f t="shared" si="25"/>
        <v>Alto</v>
      </c>
      <c r="T346" s="16"/>
    </row>
    <row r="347" spans="1:20" ht="32.1" customHeight="1">
      <c r="A347" s="452" t="s">
        <v>171</v>
      </c>
      <c r="B347" s="344" t="s">
        <v>2230</v>
      </c>
      <c r="C347" s="349" t="s">
        <v>2231</v>
      </c>
      <c r="D347" s="346">
        <v>41</v>
      </c>
      <c r="E347" s="445"/>
      <c r="F347" s="445"/>
      <c r="G347" s="445"/>
      <c r="H347" s="445"/>
      <c r="I347" s="445"/>
      <c r="J347" s="445"/>
      <c r="K347" s="445"/>
      <c r="L347" s="445"/>
      <c r="M347" s="445"/>
      <c r="N347" s="445">
        <v>42</v>
      </c>
      <c r="O347" s="645"/>
      <c r="P347" s="641"/>
      <c r="Q347" s="620">
        <f t="shared" si="24"/>
        <v>42</v>
      </c>
      <c r="R347" s="331" t="str">
        <f t="shared" si="23"/>
        <v>NO</v>
      </c>
      <c r="S347" s="347" t="str">
        <f t="shared" si="25"/>
        <v>Alto</v>
      </c>
      <c r="T347" s="16"/>
    </row>
    <row r="348" spans="1:20" ht="32.1" customHeight="1">
      <c r="A348" s="452" t="s">
        <v>171</v>
      </c>
      <c r="B348" s="344" t="s">
        <v>2232</v>
      </c>
      <c r="C348" s="349" t="s">
        <v>2233</v>
      </c>
      <c r="D348" s="346">
        <v>45</v>
      </c>
      <c r="E348" s="445"/>
      <c r="F348" s="445"/>
      <c r="G348" s="445"/>
      <c r="H348" s="445"/>
      <c r="I348" s="445"/>
      <c r="J348" s="445"/>
      <c r="K348" s="445"/>
      <c r="L348" s="445">
        <v>58</v>
      </c>
      <c r="M348" s="445"/>
      <c r="N348" s="445"/>
      <c r="O348" s="645"/>
      <c r="P348" s="641"/>
      <c r="Q348" s="620">
        <f t="shared" si="24"/>
        <v>58</v>
      </c>
      <c r="R348" s="331" t="str">
        <f t="shared" si="23"/>
        <v>NO</v>
      </c>
      <c r="S348" s="347" t="str">
        <f t="shared" si="25"/>
        <v>Alto</v>
      </c>
      <c r="T348" s="16"/>
    </row>
    <row r="349" spans="1:20" ht="32.1" customHeight="1">
      <c r="A349" s="452" t="s">
        <v>171</v>
      </c>
      <c r="B349" s="344" t="s">
        <v>970</v>
      </c>
      <c r="C349" s="349" t="s">
        <v>2234</v>
      </c>
      <c r="D349" s="346">
        <v>50</v>
      </c>
      <c r="E349" s="445"/>
      <c r="F349" s="445"/>
      <c r="G349" s="445"/>
      <c r="H349" s="445">
        <v>0</v>
      </c>
      <c r="I349" s="445"/>
      <c r="J349" s="445"/>
      <c r="K349" s="445"/>
      <c r="L349" s="445"/>
      <c r="M349" s="445"/>
      <c r="N349" s="445"/>
      <c r="O349" s="645"/>
      <c r="P349" s="641"/>
      <c r="Q349" s="620">
        <f t="shared" si="24"/>
        <v>0</v>
      </c>
      <c r="R349" s="331" t="str">
        <f t="shared" si="23"/>
        <v>SI</v>
      </c>
      <c r="S349" s="347" t="str">
        <f t="shared" si="25"/>
        <v>Sin Riesgo</v>
      </c>
      <c r="T349" s="16"/>
    </row>
    <row r="350" spans="1:20" ht="32.1" customHeight="1">
      <c r="A350" s="452" t="s">
        <v>171</v>
      </c>
      <c r="B350" s="340" t="s">
        <v>2235</v>
      </c>
      <c r="C350" s="350" t="s">
        <v>2236</v>
      </c>
      <c r="D350" s="346">
        <v>20</v>
      </c>
      <c r="E350" s="445"/>
      <c r="F350" s="445"/>
      <c r="G350" s="445"/>
      <c r="H350" s="445"/>
      <c r="I350" s="445"/>
      <c r="J350" s="445"/>
      <c r="K350" s="445"/>
      <c r="L350" s="445"/>
      <c r="M350" s="445"/>
      <c r="N350" s="445"/>
      <c r="O350" s="645">
        <v>42</v>
      </c>
      <c r="P350" s="641"/>
      <c r="Q350" s="620">
        <f t="shared" si="24"/>
        <v>42</v>
      </c>
      <c r="R350" s="331" t="str">
        <f t="shared" si="23"/>
        <v>NO</v>
      </c>
      <c r="S350" s="347" t="str">
        <f t="shared" si="25"/>
        <v>Alto</v>
      </c>
      <c r="T350" s="16"/>
    </row>
    <row r="351" spans="1:20" ht="32.1" customHeight="1">
      <c r="A351" s="452" t="s">
        <v>171</v>
      </c>
      <c r="B351" s="344" t="s">
        <v>2237</v>
      </c>
      <c r="C351" s="350" t="s">
        <v>2238</v>
      </c>
      <c r="D351" s="535">
        <v>33</v>
      </c>
      <c r="E351" s="647"/>
      <c r="F351" s="647"/>
      <c r="G351" s="647"/>
      <c r="H351" s="647"/>
      <c r="I351" s="647">
        <v>42</v>
      </c>
      <c r="J351" s="647"/>
      <c r="K351" s="647"/>
      <c r="L351" s="647"/>
      <c r="M351" s="647"/>
      <c r="N351" s="648"/>
      <c r="O351" s="641"/>
      <c r="P351" s="641"/>
      <c r="Q351" s="620">
        <f t="shared" si="24"/>
        <v>42</v>
      </c>
      <c r="R351" s="331" t="str">
        <f t="shared" si="23"/>
        <v>NO</v>
      </c>
      <c r="S351" s="347" t="str">
        <f t="shared" si="25"/>
        <v>Alto</v>
      </c>
      <c r="T351" s="16"/>
    </row>
    <row r="352" spans="1:20" ht="32.1" customHeight="1">
      <c r="A352" s="452" t="s">
        <v>171</v>
      </c>
      <c r="B352" s="340" t="s">
        <v>2239</v>
      </c>
      <c r="C352" s="350" t="s">
        <v>2240</v>
      </c>
      <c r="D352" s="346">
        <v>21</v>
      </c>
      <c r="E352" s="445"/>
      <c r="F352" s="445"/>
      <c r="G352" s="445"/>
      <c r="H352" s="445"/>
      <c r="I352" s="445">
        <v>42</v>
      </c>
      <c r="J352" s="445"/>
      <c r="K352" s="445"/>
      <c r="L352" s="445"/>
      <c r="M352" s="445"/>
      <c r="N352" s="642"/>
      <c r="O352" s="641"/>
      <c r="P352" s="641"/>
      <c r="Q352" s="620">
        <f t="shared" si="24"/>
        <v>42</v>
      </c>
      <c r="R352" s="331" t="str">
        <f t="shared" si="23"/>
        <v>NO</v>
      </c>
      <c r="S352" s="347" t="str">
        <f t="shared" si="25"/>
        <v>Alto</v>
      </c>
      <c r="T352" s="16"/>
    </row>
    <row r="353" spans="1:20" ht="32.1" customHeight="1">
      <c r="A353" s="452" t="s">
        <v>171</v>
      </c>
      <c r="B353" s="351" t="s">
        <v>2241</v>
      </c>
      <c r="C353" s="348" t="s">
        <v>2242</v>
      </c>
      <c r="D353" s="346">
        <v>22</v>
      </c>
      <c r="E353" s="445"/>
      <c r="F353" s="445"/>
      <c r="G353" s="445"/>
      <c r="H353" s="445"/>
      <c r="I353" s="445">
        <v>42</v>
      </c>
      <c r="J353" s="445"/>
      <c r="K353" s="445"/>
      <c r="L353" s="445"/>
      <c r="M353" s="445"/>
      <c r="N353" s="642"/>
      <c r="O353" s="641"/>
      <c r="P353" s="641"/>
      <c r="Q353" s="620">
        <f t="shared" si="24"/>
        <v>42</v>
      </c>
      <c r="R353" s="331" t="str">
        <f t="shared" si="23"/>
        <v>NO</v>
      </c>
      <c r="S353" s="347" t="str">
        <f t="shared" si="25"/>
        <v>Alto</v>
      </c>
      <c r="T353" s="16"/>
    </row>
    <row r="354" spans="1:20" ht="32.1" customHeight="1">
      <c r="A354" s="452" t="s">
        <v>171</v>
      </c>
      <c r="B354" s="351" t="s">
        <v>2243</v>
      </c>
      <c r="C354" s="348" t="s">
        <v>2244</v>
      </c>
      <c r="D354" s="346">
        <v>25</v>
      </c>
      <c r="E354" s="445"/>
      <c r="F354" s="445"/>
      <c r="G354" s="445"/>
      <c r="H354" s="445"/>
      <c r="I354" s="445"/>
      <c r="J354" s="445"/>
      <c r="K354" s="445"/>
      <c r="L354" s="445"/>
      <c r="M354" s="445"/>
      <c r="N354" s="645"/>
      <c r="O354" s="641">
        <v>42</v>
      </c>
      <c r="P354" s="641"/>
      <c r="Q354" s="620">
        <f t="shared" si="24"/>
        <v>42</v>
      </c>
      <c r="R354" s="331" t="str">
        <f t="shared" si="23"/>
        <v>NO</v>
      </c>
      <c r="S354" s="347" t="str">
        <f t="shared" si="25"/>
        <v>Alto</v>
      </c>
      <c r="T354" s="16"/>
    </row>
    <row r="355" spans="1:20" ht="32.1" customHeight="1">
      <c r="A355" s="452" t="s">
        <v>171</v>
      </c>
      <c r="B355" s="351" t="s">
        <v>2245</v>
      </c>
      <c r="C355" s="348" t="s">
        <v>2246</v>
      </c>
      <c r="D355" s="346">
        <v>53</v>
      </c>
      <c r="E355" s="445"/>
      <c r="F355" s="445"/>
      <c r="G355" s="445"/>
      <c r="H355" s="445"/>
      <c r="I355" s="445"/>
      <c r="J355" s="445"/>
      <c r="K355" s="445"/>
      <c r="L355" s="445"/>
      <c r="M355" s="445"/>
      <c r="N355" s="645">
        <v>42</v>
      </c>
      <c r="O355" s="641"/>
      <c r="P355" s="641"/>
      <c r="Q355" s="620">
        <f t="shared" si="24"/>
        <v>42</v>
      </c>
      <c r="R355" s="331" t="str">
        <f t="shared" si="23"/>
        <v>NO</v>
      </c>
      <c r="S355" s="347" t="str">
        <f t="shared" si="25"/>
        <v>Alto</v>
      </c>
      <c r="T355" s="16"/>
    </row>
    <row r="356" spans="1:20" ht="32.1" customHeight="1">
      <c r="A356" s="452" t="s">
        <v>171</v>
      </c>
      <c r="B356" s="351" t="s">
        <v>2247</v>
      </c>
      <c r="C356" s="348" t="s">
        <v>2248</v>
      </c>
      <c r="D356" s="346">
        <v>32</v>
      </c>
      <c r="E356" s="445"/>
      <c r="F356" s="445"/>
      <c r="G356" s="445">
        <v>42</v>
      </c>
      <c r="H356" s="445"/>
      <c r="I356" s="445"/>
      <c r="J356" s="445"/>
      <c r="K356" s="445"/>
      <c r="L356" s="445"/>
      <c r="M356" s="445"/>
      <c r="N356" s="445"/>
      <c r="O356" s="642"/>
      <c r="P356" s="641"/>
      <c r="Q356" s="620">
        <f t="shared" si="24"/>
        <v>42</v>
      </c>
      <c r="R356" s="331" t="str">
        <f t="shared" si="23"/>
        <v>NO</v>
      </c>
      <c r="S356" s="347" t="str">
        <f t="shared" si="25"/>
        <v>Alto</v>
      </c>
      <c r="T356" s="16"/>
    </row>
    <row r="357" spans="1:20" ht="32.1" customHeight="1">
      <c r="A357" s="452" t="s">
        <v>171</v>
      </c>
      <c r="B357" s="351" t="s">
        <v>4222</v>
      </c>
      <c r="C357" s="348" t="s">
        <v>4223</v>
      </c>
      <c r="D357" s="346">
        <v>53</v>
      </c>
      <c r="E357" s="445"/>
      <c r="F357" s="445"/>
      <c r="G357" s="445"/>
      <c r="H357" s="445"/>
      <c r="I357" s="445">
        <v>42</v>
      </c>
      <c r="J357" s="445"/>
      <c r="K357" s="445"/>
      <c r="L357" s="445"/>
      <c r="M357" s="445"/>
      <c r="N357" s="445"/>
      <c r="O357" s="642"/>
      <c r="P357" s="641"/>
      <c r="Q357" s="620">
        <f>AVERAGE(E357:P357)</f>
        <v>42</v>
      </c>
      <c r="R357" s="331" t="str">
        <f t="shared" si="23"/>
        <v>NO</v>
      </c>
      <c r="S357" s="347" t="str">
        <f t="shared" si="25"/>
        <v>Alto</v>
      </c>
      <c r="T357" s="16"/>
    </row>
    <row r="358" spans="1:20" ht="33" customHeight="1">
      <c r="A358" s="452" t="s">
        <v>172</v>
      </c>
      <c r="B358" s="351" t="s">
        <v>2249</v>
      </c>
      <c r="C358" s="348" t="s">
        <v>2250</v>
      </c>
      <c r="D358" s="346">
        <v>467</v>
      </c>
      <c r="E358" s="445"/>
      <c r="F358" s="445"/>
      <c r="G358" s="445">
        <v>0</v>
      </c>
      <c r="H358" s="445"/>
      <c r="I358" s="445"/>
      <c r="J358" s="445">
        <v>0</v>
      </c>
      <c r="K358" s="445"/>
      <c r="L358" s="445">
        <v>0</v>
      </c>
      <c r="M358" s="445"/>
      <c r="N358" s="445"/>
      <c r="O358" s="445">
        <v>0</v>
      </c>
      <c r="P358" s="445"/>
      <c r="Q358" s="620">
        <f t="shared" si="24"/>
        <v>0</v>
      </c>
      <c r="R358" s="331" t="str">
        <f t="shared" si="23"/>
        <v>SI</v>
      </c>
      <c r="S358" s="347" t="str">
        <f t="shared" si="25"/>
        <v>Sin Riesgo</v>
      </c>
      <c r="T358" s="16"/>
    </row>
    <row r="359" spans="1:20" ht="33" customHeight="1">
      <c r="A359" s="452" t="s">
        <v>172</v>
      </c>
      <c r="B359" s="351" t="s">
        <v>1260</v>
      </c>
      <c r="C359" s="348" t="s">
        <v>2251</v>
      </c>
      <c r="D359" s="346">
        <v>43</v>
      </c>
      <c r="E359" s="445"/>
      <c r="F359" s="445"/>
      <c r="G359" s="445"/>
      <c r="H359" s="445"/>
      <c r="I359" s="445">
        <v>0</v>
      </c>
      <c r="J359" s="445"/>
      <c r="K359" s="445"/>
      <c r="L359" s="445"/>
      <c r="M359" s="445"/>
      <c r="N359" s="445"/>
      <c r="O359" s="445"/>
      <c r="P359" s="445"/>
      <c r="Q359" s="620">
        <f t="shared" si="24"/>
        <v>0</v>
      </c>
      <c r="R359" s="331" t="str">
        <f t="shared" si="23"/>
        <v>SI</v>
      </c>
      <c r="S359" s="347" t="str">
        <f t="shared" si="25"/>
        <v>Sin Riesgo</v>
      </c>
      <c r="T359" s="16"/>
    </row>
    <row r="360" spans="1:20" ht="33" customHeight="1">
      <c r="A360" s="452" t="s">
        <v>172</v>
      </c>
      <c r="B360" s="344" t="s">
        <v>1880</v>
      </c>
      <c r="C360" s="348" t="s">
        <v>2252</v>
      </c>
      <c r="D360" s="346">
        <v>68</v>
      </c>
      <c r="E360" s="445"/>
      <c r="F360" s="445"/>
      <c r="G360" s="445"/>
      <c r="H360" s="445"/>
      <c r="I360" s="445"/>
      <c r="J360" s="445"/>
      <c r="K360" s="445"/>
      <c r="L360" s="445"/>
      <c r="M360" s="445">
        <v>65.569999999999993</v>
      </c>
      <c r="N360" s="445"/>
      <c r="O360" s="445"/>
      <c r="P360" s="445"/>
      <c r="Q360" s="620">
        <f t="shared" si="24"/>
        <v>65.569999999999993</v>
      </c>
      <c r="R360" s="331" t="str">
        <f t="shared" si="23"/>
        <v>NO</v>
      </c>
      <c r="S360" s="347" t="str">
        <f t="shared" si="25"/>
        <v>Alto</v>
      </c>
      <c r="T360" s="16"/>
    </row>
    <row r="361" spans="1:20" ht="33" customHeight="1">
      <c r="A361" s="452" t="s">
        <v>172</v>
      </c>
      <c r="B361" s="351" t="s">
        <v>2253</v>
      </c>
      <c r="C361" s="348" t="s">
        <v>2254</v>
      </c>
      <c r="D361" s="346">
        <v>763</v>
      </c>
      <c r="E361" s="445"/>
      <c r="F361" s="445">
        <v>0</v>
      </c>
      <c r="G361" s="445"/>
      <c r="H361" s="445"/>
      <c r="I361" s="445"/>
      <c r="J361" s="445">
        <v>0</v>
      </c>
      <c r="K361" s="445">
        <v>0</v>
      </c>
      <c r="L361" s="445"/>
      <c r="M361" s="445"/>
      <c r="N361" s="445"/>
      <c r="O361" s="445"/>
      <c r="P361" s="445"/>
      <c r="Q361" s="620">
        <f t="shared" si="24"/>
        <v>0</v>
      </c>
      <c r="R361" s="331" t="str">
        <f t="shared" si="23"/>
        <v>SI</v>
      </c>
      <c r="S361" s="347" t="str">
        <f t="shared" si="25"/>
        <v>Sin Riesgo</v>
      </c>
      <c r="T361" s="16"/>
    </row>
    <row r="362" spans="1:20" ht="33" customHeight="1">
      <c r="A362" s="452" t="s">
        <v>172</v>
      </c>
      <c r="B362" s="351" t="s">
        <v>2255</v>
      </c>
      <c r="C362" s="348" t="s">
        <v>2256</v>
      </c>
      <c r="D362" s="346">
        <v>32</v>
      </c>
      <c r="E362" s="445"/>
      <c r="F362" s="445"/>
      <c r="G362" s="445"/>
      <c r="H362" s="445"/>
      <c r="I362" s="445"/>
      <c r="J362" s="445"/>
      <c r="K362" s="445"/>
      <c r="L362" s="445"/>
      <c r="M362" s="445"/>
      <c r="N362" s="445"/>
      <c r="O362" s="445"/>
      <c r="P362" s="445">
        <v>65.569999999999993</v>
      </c>
      <c r="Q362" s="620">
        <f t="shared" si="24"/>
        <v>65.569999999999993</v>
      </c>
      <c r="R362" s="331" t="str">
        <f t="shared" si="23"/>
        <v>NO</v>
      </c>
      <c r="S362" s="347" t="str">
        <f t="shared" si="25"/>
        <v>Alto</v>
      </c>
      <c r="T362" s="16"/>
    </row>
    <row r="363" spans="1:20" ht="33" customHeight="1">
      <c r="A363" s="452" t="s">
        <v>172</v>
      </c>
      <c r="B363" s="351" t="s">
        <v>2257</v>
      </c>
      <c r="C363" s="348" t="s">
        <v>2258</v>
      </c>
      <c r="D363" s="346">
        <v>28</v>
      </c>
      <c r="E363" s="445"/>
      <c r="F363" s="445"/>
      <c r="G363" s="445"/>
      <c r="H363" s="445"/>
      <c r="I363" s="445"/>
      <c r="J363" s="445"/>
      <c r="K363" s="445"/>
      <c r="L363" s="445"/>
      <c r="M363" s="445"/>
      <c r="N363" s="445"/>
      <c r="O363" s="445"/>
      <c r="P363" s="445">
        <v>65.569999999999993</v>
      </c>
      <c r="Q363" s="620">
        <f t="shared" si="24"/>
        <v>65.569999999999993</v>
      </c>
      <c r="R363" s="331" t="str">
        <f t="shared" si="23"/>
        <v>NO</v>
      </c>
      <c r="S363" s="347" t="str">
        <f t="shared" si="25"/>
        <v>Alto</v>
      </c>
      <c r="T363" s="16"/>
    </row>
    <row r="364" spans="1:20" ht="33" customHeight="1">
      <c r="A364" s="452" t="s">
        <v>172</v>
      </c>
      <c r="B364" s="351" t="s">
        <v>2259</v>
      </c>
      <c r="C364" s="348" t="s">
        <v>2260</v>
      </c>
      <c r="D364" s="346">
        <v>170</v>
      </c>
      <c r="E364" s="445"/>
      <c r="F364" s="445"/>
      <c r="G364" s="445"/>
      <c r="H364" s="445"/>
      <c r="I364" s="445"/>
      <c r="J364" s="445">
        <v>90.16</v>
      </c>
      <c r="K364" s="445"/>
      <c r="L364" s="445"/>
      <c r="M364" s="445"/>
      <c r="N364" s="445"/>
      <c r="O364" s="445"/>
      <c r="P364" s="445">
        <v>65.569999999999993</v>
      </c>
      <c r="Q364" s="620">
        <f t="shared" si="24"/>
        <v>77.864999999999995</v>
      </c>
      <c r="R364" s="331" t="str">
        <f t="shared" si="23"/>
        <v>NO</v>
      </c>
      <c r="S364" s="347" t="str">
        <f t="shared" si="25"/>
        <v>Alto</v>
      </c>
      <c r="T364" s="16"/>
    </row>
    <row r="365" spans="1:20" ht="33" customHeight="1">
      <c r="A365" s="452" t="s">
        <v>172</v>
      </c>
      <c r="B365" s="351" t="s">
        <v>594</v>
      </c>
      <c r="C365" s="348" t="s">
        <v>2261</v>
      </c>
      <c r="D365" s="399">
        <v>34</v>
      </c>
      <c r="E365" s="445"/>
      <c r="F365" s="445"/>
      <c r="G365" s="445"/>
      <c r="H365" s="445"/>
      <c r="I365" s="445"/>
      <c r="J365" s="445"/>
      <c r="K365" s="445"/>
      <c r="L365" s="445"/>
      <c r="M365" s="445"/>
      <c r="N365" s="445"/>
      <c r="O365" s="445"/>
      <c r="P365" s="445">
        <v>65.569999999999993</v>
      </c>
      <c r="Q365" s="620">
        <f t="shared" si="24"/>
        <v>65.569999999999993</v>
      </c>
      <c r="R365" s="331" t="str">
        <f t="shared" si="23"/>
        <v>NO</v>
      </c>
      <c r="S365" s="347" t="str">
        <f t="shared" si="25"/>
        <v>Alto</v>
      </c>
      <c r="T365" s="16"/>
    </row>
    <row r="366" spans="1:20" ht="33" customHeight="1">
      <c r="A366" s="452" t="s">
        <v>172</v>
      </c>
      <c r="B366" s="351" t="s">
        <v>2262</v>
      </c>
      <c r="C366" s="348" t="s">
        <v>2263</v>
      </c>
      <c r="D366" s="346">
        <v>50</v>
      </c>
      <c r="E366" s="445"/>
      <c r="F366" s="445"/>
      <c r="G366" s="445"/>
      <c r="H366" s="445"/>
      <c r="I366" s="445"/>
      <c r="J366" s="445"/>
      <c r="K366" s="445"/>
      <c r="L366" s="445"/>
      <c r="M366" s="445"/>
      <c r="N366" s="445"/>
      <c r="O366" s="445"/>
      <c r="P366" s="445">
        <v>65.569999999999993</v>
      </c>
      <c r="Q366" s="620">
        <f t="shared" si="24"/>
        <v>65.569999999999993</v>
      </c>
      <c r="R366" s="331" t="str">
        <f t="shared" ref="R366:R429" si="26">IF(Q366&lt;5,"SI","NO")</f>
        <v>NO</v>
      </c>
      <c r="S366" s="347" t="str">
        <f t="shared" si="25"/>
        <v>Alto</v>
      </c>
      <c r="T366" s="16"/>
    </row>
    <row r="367" spans="1:20" ht="33" customHeight="1">
      <c r="A367" s="452" t="s">
        <v>172</v>
      </c>
      <c r="B367" s="351" t="s">
        <v>2264</v>
      </c>
      <c r="C367" s="348" t="s">
        <v>2265</v>
      </c>
      <c r="D367" s="346">
        <v>115</v>
      </c>
      <c r="E367" s="445"/>
      <c r="F367" s="445">
        <v>76.92</v>
      </c>
      <c r="G367" s="445"/>
      <c r="H367" s="445"/>
      <c r="I367" s="445"/>
      <c r="J367" s="445"/>
      <c r="K367" s="445"/>
      <c r="L367" s="445"/>
      <c r="M367" s="445"/>
      <c r="N367" s="445"/>
      <c r="O367" s="445"/>
      <c r="P367" s="445"/>
      <c r="Q367" s="620">
        <f t="shared" ref="Q367:Q430" si="27">AVERAGE(E367:P367)</f>
        <v>76.92</v>
      </c>
      <c r="R367" s="331" t="str">
        <f t="shared" si="26"/>
        <v>NO</v>
      </c>
      <c r="S367" s="347" t="str">
        <f t="shared" si="25"/>
        <v>Alto</v>
      </c>
      <c r="T367" s="16"/>
    </row>
    <row r="368" spans="1:20" ht="33" customHeight="1">
      <c r="A368" s="452" t="s">
        <v>172</v>
      </c>
      <c r="B368" s="351" t="s">
        <v>1192</v>
      </c>
      <c r="C368" s="348" t="s">
        <v>2266</v>
      </c>
      <c r="D368" s="399">
        <v>139</v>
      </c>
      <c r="E368" s="445"/>
      <c r="F368" s="445"/>
      <c r="G368" s="445"/>
      <c r="H368" s="445"/>
      <c r="I368" s="445"/>
      <c r="J368" s="445"/>
      <c r="K368" s="445"/>
      <c r="L368" s="445"/>
      <c r="M368" s="445"/>
      <c r="N368" s="445">
        <v>65.569999999999993</v>
      </c>
      <c r="O368" s="445"/>
      <c r="P368" s="445"/>
      <c r="Q368" s="620">
        <f t="shared" si="27"/>
        <v>65.569999999999993</v>
      </c>
      <c r="R368" s="331" t="str">
        <f t="shared" si="26"/>
        <v>NO</v>
      </c>
      <c r="S368" s="347" t="str">
        <f t="shared" si="25"/>
        <v>Alto</v>
      </c>
      <c r="T368" s="16"/>
    </row>
    <row r="369" spans="1:20" ht="33" customHeight="1">
      <c r="A369" s="452" t="s">
        <v>172</v>
      </c>
      <c r="B369" s="351" t="s">
        <v>1382</v>
      </c>
      <c r="C369" s="350" t="s">
        <v>2267</v>
      </c>
      <c r="D369" s="346">
        <v>100</v>
      </c>
      <c r="E369" s="445"/>
      <c r="F369" s="445"/>
      <c r="G369" s="445"/>
      <c r="H369" s="445"/>
      <c r="I369" s="445"/>
      <c r="J369" s="445">
        <v>0</v>
      </c>
      <c r="K369" s="445"/>
      <c r="L369" s="445"/>
      <c r="M369" s="445">
        <v>58.82</v>
      </c>
      <c r="N369" s="445"/>
      <c r="O369" s="445"/>
      <c r="P369" s="445"/>
      <c r="Q369" s="620">
        <f t="shared" si="27"/>
        <v>29.41</v>
      </c>
      <c r="R369" s="331" t="str">
        <f t="shared" si="26"/>
        <v>NO</v>
      </c>
      <c r="S369" s="347" t="str">
        <f t="shared" si="25"/>
        <v>Medio</v>
      </c>
      <c r="T369" s="16"/>
    </row>
    <row r="370" spans="1:20" ht="33" customHeight="1">
      <c r="A370" s="452" t="s">
        <v>172</v>
      </c>
      <c r="B370" s="351" t="s">
        <v>2268</v>
      </c>
      <c r="C370" s="348" t="s">
        <v>2269</v>
      </c>
      <c r="D370" s="346">
        <v>52</v>
      </c>
      <c r="E370" s="445"/>
      <c r="F370" s="445"/>
      <c r="G370" s="445">
        <v>0</v>
      </c>
      <c r="H370" s="445"/>
      <c r="I370" s="445"/>
      <c r="J370" s="445">
        <v>0</v>
      </c>
      <c r="K370" s="445"/>
      <c r="L370" s="445">
        <v>0</v>
      </c>
      <c r="M370" s="445"/>
      <c r="N370" s="445"/>
      <c r="O370" s="445">
        <v>0</v>
      </c>
      <c r="P370" s="445"/>
      <c r="Q370" s="620">
        <f t="shared" si="27"/>
        <v>0</v>
      </c>
      <c r="R370" s="331" t="str">
        <f t="shared" si="26"/>
        <v>SI</v>
      </c>
      <c r="S370" s="347" t="str">
        <f t="shared" si="25"/>
        <v>Sin Riesgo</v>
      </c>
      <c r="T370" s="16"/>
    </row>
    <row r="371" spans="1:20" ht="33" customHeight="1">
      <c r="A371" s="452" t="s">
        <v>172</v>
      </c>
      <c r="B371" s="351" t="s">
        <v>2270</v>
      </c>
      <c r="C371" s="348" t="s">
        <v>2271</v>
      </c>
      <c r="D371" s="399">
        <v>52</v>
      </c>
      <c r="E371" s="445"/>
      <c r="F371" s="445"/>
      <c r="G371" s="445">
        <v>0</v>
      </c>
      <c r="H371" s="445"/>
      <c r="I371" s="445"/>
      <c r="J371" s="445">
        <v>0</v>
      </c>
      <c r="K371" s="445"/>
      <c r="L371" s="445">
        <v>0</v>
      </c>
      <c r="M371" s="445"/>
      <c r="N371" s="445"/>
      <c r="O371" s="445">
        <v>0</v>
      </c>
      <c r="P371" s="445"/>
      <c r="Q371" s="620">
        <f t="shared" si="27"/>
        <v>0</v>
      </c>
      <c r="R371" s="331" t="str">
        <f t="shared" si="26"/>
        <v>SI</v>
      </c>
      <c r="S371" s="347" t="str">
        <f t="shared" si="25"/>
        <v>Sin Riesgo</v>
      </c>
      <c r="T371" s="16"/>
    </row>
    <row r="372" spans="1:20" ht="33" customHeight="1">
      <c r="A372" s="452" t="s">
        <v>172</v>
      </c>
      <c r="B372" s="351" t="s">
        <v>2272</v>
      </c>
      <c r="C372" s="348" t="s">
        <v>2273</v>
      </c>
      <c r="D372" s="346">
        <v>24</v>
      </c>
      <c r="E372" s="445"/>
      <c r="F372" s="445">
        <v>0</v>
      </c>
      <c r="G372" s="445"/>
      <c r="H372" s="445"/>
      <c r="I372" s="445"/>
      <c r="J372" s="445"/>
      <c r="K372" s="445"/>
      <c r="L372" s="445"/>
      <c r="M372" s="445"/>
      <c r="N372" s="445">
        <v>0</v>
      </c>
      <c r="O372" s="445"/>
      <c r="P372" s="445"/>
      <c r="Q372" s="620">
        <f t="shared" si="27"/>
        <v>0</v>
      </c>
      <c r="R372" s="331" t="str">
        <f t="shared" si="26"/>
        <v>SI</v>
      </c>
      <c r="S372" s="347" t="str">
        <f t="shared" si="25"/>
        <v>Sin Riesgo</v>
      </c>
      <c r="T372" s="16"/>
    </row>
    <row r="373" spans="1:20" ht="33" customHeight="1">
      <c r="A373" s="452" t="s">
        <v>172</v>
      </c>
      <c r="B373" s="351" t="s">
        <v>2274</v>
      </c>
      <c r="C373" s="348" t="s">
        <v>2275</v>
      </c>
      <c r="D373" s="346">
        <v>268</v>
      </c>
      <c r="E373" s="445"/>
      <c r="F373" s="445">
        <v>20.98</v>
      </c>
      <c r="G373" s="445">
        <v>96.39</v>
      </c>
      <c r="H373" s="445"/>
      <c r="I373" s="445"/>
      <c r="J373" s="445">
        <v>24.59</v>
      </c>
      <c r="K373" s="445"/>
      <c r="L373" s="445"/>
      <c r="M373" s="445"/>
      <c r="N373" s="445">
        <v>65.569999999999993</v>
      </c>
      <c r="O373" s="445"/>
      <c r="P373" s="445"/>
      <c r="Q373" s="620">
        <f t="shared" si="27"/>
        <v>51.8825</v>
      </c>
      <c r="R373" s="331" t="str">
        <f t="shared" si="26"/>
        <v>NO</v>
      </c>
      <c r="S373" s="347" t="str">
        <f t="shared" si="25"/>
        <v>Alto</v>
      </c>
      <c r="T373" s="16"/>
    </row>
    <row r="374" spans="1:20" ht="33" customHeight="1">
      <c r="A374" s="452" t="s">
        <v>172</v>
      </c>
      <c r="B374" s="351" t="s">
        <v>2276</v>
      </c>
      <c r="C374" s="348" t="s">
        <v>2277</v>
      </c>
      <c r="D374" s="346">
        <v>25</v>
      </c>
      <c r="E374" s="445"/>
      <c r="F374" s="445"/>
      <c r="G374" s="445"/>
      <c r="H374" s="445"/>
      <c r="I374" s="445"/>
      <c r="J374" s="445"/>
      <c r="K374" s="445"/>
      <c r="L374" s="445"/>
      <c r="M374" s="445"/>
      <c r="N374" s="445"/>
      <c r="O374" s="445">
        <v>90.16</v>
      </c>
      <c r="P374" s="445"/>
      <c r="Q374" s="620">
        <f t="shared" si="27"/>
        <v>90.16</v>
      </c>
      <c r="R374" s="331" t="str">
        <f t="shared" si="26"/>
        <v>NO</v>
      </c>
      <c r="S374" s="347" t="str">
        <f t="shared" si="25"/>
        <v>Inviable Sanitariamente</v>
      </c>
      <c r="T374" s="16"/>
    </row>
    <row r="375" spans="1:20" ht="33" customHeight="1">
      <c r="A375" s="452" t="s">
        <v>172</v>
      </c>
      <c r="B375" s="351" t="s">
        <v>2278</v>
      </c>
      <c r="C375" s="348" t="s">
        <v>2279</v>
      </c>
      <c r="D375" s="346">
        <v>33</v>
      </c>
      <c r="E375" s="445"/>
      <c r="F375" s="445"/>
      <c r="G375" s="639"/>
      <c r="H375" s="445"/>
      <c r="I375" s="445"/>
      <c r="J375" s="445"/>
      <c r="K375" s="445"/>
      <c r="L375" s="445"/>
      <c r="M375" s="445">
        <v>90.16</v>
      </c>
      <c r="N375" s="445"/>
      <c r="O375" s="445"/>
      <c r="P375" s="445"/>
      <c r="Q375" s="620">
        <f t="shared" si="27"/>
        <v>90.16</v>
      </c>
      <c r="R375" s="331" t="str">
        <f t="shared" si="26"/>
        <v>NO</v>
      </c>
      <c r="S375" s="347" t="str">
        <f t="shared" si="25"/>
        <v>Inviable Sanitariamente</v>
      </c>
      <c r="T375" s="16"/>
    </row>
    <row r="376" spans="1:20" ht="33" customHeight="1">
      <c r="A376" s="452" t="s">
        <v>172</v>
      </c>
      <c r="B376" s="351" t="s">
        <v>2280</v>
      </c>
      <c r="C376" s="348" t="s">
        <v>2281</v>
      </c>
      <c r="D376" s="346">
        <v>61</v>
      </c>
      <c r="E376" s="445"/>
      <c r="F376" s="445"/>
      <c r="G376" s="445"/>
      <c r="H376" s="445"/>
      <c r="I376" s="445"/>
      <c r="J376" s="445"/>
      <c r="K376" s="445"/>
      <c r="L376" s="445">
        <v>65.569999999999993</v>
      </c>
      <c r="M376" s="445"/>
      <c r="N376" s="445"/>
      <c r="O376" s="445"/>
      <c r="P376" s="445"/>
      <c r="Q376" s="620">
        <f t="shared" si="27"/>
        <v>65.569999999999993</v>
      </c>
      <c r="R376" s="331" t="str">
        <f t="shared" si="26"/>
        <v>NO</v>
      </c>
      <c r="S376" s="347" t="str">
        <f t="shared" si="25"/>
        <v>Alto</v>
      </c>
      <c r="T376" s="16"/>
    </row>
    <row r="377" spans="1:20" ht="33" customHeight="1">
      <c r="A377" s="452" t="s">
        <v>172</v>
      </c>
      <c r="B377" s="351" t="s">
        <v>622</v>
      </c>
      <c r="C377" s="348" t="s">
        <v>1037</v>
      </c>
      <c r="D377" s="346">
        <v>34</v>
      </c>
      <c r="E377" s="445"/>
      <c r="F377" s="445"/>
      <c r="G377" s="445"/>
      <c r="H377" s="445"/>
      <c r="I377" s="445"/>
      <c r="J377" s="445"/>
      <c r="K377" s="445"/>
      <c r="L377" s="445">
        <v>65.569999999999993</v>
      </c>
      <c r="M377" s="445"/>
      <c r="N377" s="445"/>
      <c r="O377" s="445"/>
      <c r="P377" s="445"/>
      <c r="Q377" s="620">
        <f t="shared" si="27"/>
        <v>65.569999999999993</v>
      </c>
      <c r="R377" s="331" t="str">
        <f t="shared" si="26"/>
        <v>NO</v>
      </c>
      <c r="S377" s="347" t="str">
        <f t="shared" si="25"/>
        <v>Alto</v>
      </c>
      <c r="T377" s="16"/>
    </row>
    <row r="378" spans="1:20" ht="33" customHeight="1">
      <c r="A378" s="452" t="s">
        <v>172</v>
      </c>
      <c r="B378" s="351" t="s">
        <v>76</v>
      </c>
      <c r="C378" s="348" t="s">
        <v>2282</v>
      </c>
      <c r="D378" s="346">
        <v>65</v>
      </c>
      <c r="E378" s="445"/>
      <c r="F378" s="445"/>
      <c r="G378" s="445"/>
      <c r="H378" s="445"/>
      <c r="I378" s="445"/>
      <c r="J378" s="445"/>
      <c r="K378" s="445"/>
      <c r="L378" s="445"/>
      <c r="M378" s="445"/>
      <c r="N378" s="445">
        <v>65.569999999999993</v>
      </c>
      <c r="O378" s="445"/>
      <c r="P378" s="445"/>
      <c r="Q378" s="620">
        <f t="shared" si="27"/>
        <v>65.569999999999993</v>
      </c>
      <c r="R378" s="331" t="str">
        <f t="shared" si="26"/>
        <v>NO</v>
      </c>
      <c r="S378" s="347" t="str">
        <f t="shared" si="25"/>
        <v>Alto</v>
      </c>
      <c r="T378" s="16"/>
    </row>
    <row r="379" spans="1:20" ht="32.1" customHeight="1">
      <c r="A379" s="597" t="s">
        <v>172</v>
      </c>
      <c r="B379" s="610" t="s">
        <v>2283</v>
      </c>
      <c r="C379" s="611" t="s">
        <v>2284</v>
      </c>
      <c r="D379" s="304">
        <v>18</v>
      </c>
      <c r="E379" s="368"/>
      <c r="F379" s="368"/>
      <c r="G379" s="368"/>
      <c r="H379" s="368"/>
      <c r="I379" s="368"/>
      <c r="J379" s="368">
        <v>97.9</v>
      </c>
      <c r="K379" s="368"/>
      <c r="L379" s="368"/>
      <c r="M379" s="368"/>
      <c r="N379" s="368"/>
      <c r="O379" s="368"/>
      <c r="P379" s="368"/>
      <c r="Q379" s="620">
        <f t="shared" si="27"/>
        <v>97.9</v>
      </c>
      <c r="R379" s="331" t="str">
        <f t="shared" si="26"/>
        <v>NO</v>
      </c>
      <c r="S379" s="347" t="str">
        <f t="shared" si="25"/>
        <v>Inviable Sanitariamente</v>
      </c>
      <c r="T379" s="16"/>
    </row>
    <row r="380" spans="1:20" ht="32.1" customHeight="1">
      <c r="A380" s="452" t="s">
        <v>172</v>
      </c>
      <c r="B380" s="351" t="s">
        <v>2285</v>
      </c>
      <c r="C380" s="348" t="s">
        <v>2286</v>
      </c>
      <c r="D380" s="346">
        <v>23</v>
      </c>
      <c r="E380" s="445"/>
      <c r="F380" s="445"/>
      <c r="G380" s="445"/>
      <c r="H380" s="445"/>
      <c r="I380" s="445"/>
      <c r="J380" s="445"/>
      <c r="K380" s="445"/>
      <c r="L380" s="445"/>
      <c r="M380" s="445">
        <v>65.569999999999993</v>
      </c>
      <c r="N380" s="445"/>
      <c r="O380" s="445"/>
      <c r="P380" s="445"/>
      <c r="Q380" s="620">
        <f t="shared" si="27"/>
        <v>65.569999999999993</v>
      </c>
      <c r="R380" s="331" t="str">
        <f t="shared" si="26"/>
        <v>NO</v>
      </c>
      <c r="S380" s="347" t="str">
        <f t="shared" si="25"/>
        <v>Alto</v>
      </c>
      <c r="T380" s="16"/>
    </row>
    <row r="381" spans="1:20" ht="32.1" customHeight="1">
      <c r="A381" s="452" t="s">
        <v>172</v>
      </c>
      <c r="B381" s="351" t="s">
        <v>2287</v>
      </c>
      <c r="C381" s="348" t="s">
        <v>2288</v>
      </c>
      <c r="D381" s="346">
        <v>28</v>
      </c>
      <c r="E381" s="445"/>
      <c r="F381" s="445"/>
      <c r="G381" s="445"/>
      <c r="H381" s="445"/>
      <c r="I381" s="445"/>
      <c r="J381" s="445"/>
      <c r="K381" s="445"/>
      <c r="L381" s="445"/>
      <c r="M381" s="445"/>
      <c r="N381" s="445"/>
      <c r="O381" s="445"/>
      <c r="P381" s="445">
        <v>65.569999999999993</v>
      </c>
      <c r="Q381" s="620">
        <f t="shared" si="27"/>
        <v>65.569999999999993</v>
      </c>
      <c r="R381" s="331" t="str">
        <f t="shared" si="26"/>
        <v>NO</v>
      </c>
      <c r="S381" s="347" t="str">
        <f t="shared" si="25"/>
        <v>Alto</v>
      </c>
      <c r="T381" s="16"/>
    </row>
    <row r="382" spans="1:20" s="18" customFormat="1" ht="32.1" customHeight="1">
      <c r="A382" s="452" t="s">
        <v>172</v>
      </c>
      <c r="B382" s="351" t="s">
        <v>2289</v>
      </c>
      <c r="C382" s="348" t="s">
        <v>2290</v>
      </c>
      <c r="D382" s="346">
        <v>76</v>
      </c>
      <c r="E382" s="445"/>
      <c r="F382" s="445"/>
      <c r="G382" s="445"/>
      <c r="H382" s="445"/>
      <c r="I382" s="445">
        <v>97.35</v>
      </c>
      <c r="J382" s="445"/>
      <c r="K382" s="445"/>
      <c r="L382" s="445"/>
      <c r="M382" s="445"/>
      <c r="N382" s="445"/>
      <c r="O382" s="445"/>
      <c r="P382" s="445"/>
      <c r="Q382" s="620">
        <f t="shared" si="27"/>
        <v>97.35</v>
      </c>
      <c r="R382" s="331" t="str">
        <f t="shared" si="26"/>
        <v>NO</v>
      </c>
      <c r="S382" s="347" t="str">
        <f t="shared" si="25"/>
        <v>Inviable Sanitariamente</v>
      </c>
      <c r="T382" s="17"/>
    </row>
    <row r="383" spans="1:20" ht="32.1" customHeight="1">
      <c r="A383" s="452" t="s">
        <v>172</v>
      </c>
      <c r="B383" s="351" t="s">
        <v>2291</v>
      </c>
      <c r="C383" s="348" t="s">
        <v>2292</v>
      </c>
      <c r="D383" s="346">
        <v>89</v>
      </c>
      <c r="E383" s="445"/>
      <c r="F383" s="445"/>
      <c r="G383" s="445"/>
      <c r="H383" s="445"/>
      <c r="I383" s="445"/>
      <c r="J383" s="445"/>
      <c r="K383" s="445"/>
      <c r="L383" s="445"/>
      <c r="M383" s="445"/>
      <c r="N383" s="445">
        <v>65.569999999999993</v>
      </c>
      <c r="O383" s="445"/>
      <c r="P383" s="445"/>
      <c r="Q383" s="620">
        <f t="shared" si="27"/>
        <v>65.569999999999993</v>
      </c>
      <c r="R383" s="331" t="str">
        <f t="shared" si="26"/>
        <v>NO</v>
      </c>
      <c r="S383" s="347" t="str">
        <f t="shared" si="25"/>
        <v>Alto</v>
      </c>
      <c r="T383" s="16"/>
    </row>
    <row r="384" spans="1:20" ht="32.1" customHeight="1">
      <c r="A384" s="452" t="s">
        <v>172</v>
      </c>
      <c r="B384" s="351" t="s">
        <v>2293</v>
      </c>
      <c r="C384" s="348" t="s">
        <v>2294</v>
      </c>
      <c r="D384" s="346">
        <v>32</v>
      </c>
      <c r="E384" s="445"/>
      <c r="F384" s="445"/>
      <c r="G384" s="445"/>
      <c r="H384" s="445"/>
      <c r="I384" s="445"/>
      <c r="J384" s="445"/>
      <c r="K384" s="445"/>
      <c r="L384" s="445">
        <v>65.569999999999993</v>
      </c>
      <c r="M384" s="445"/>
      <c r="N384" s="445"/>
      <c r="O384" s="445"/>
      <c r="P384" s="445"/>
      <c r="Q384" s="620">
        <f t="shared" si="27"/>
        <v>65.569999999999993</v>
      </c>
      <c r="R384" s="331" t="str">
        <f t="shared" si="26"/>
        <v>NO</v>
      </c>
      <c r="S384" s="347" t="str">
        <f t="shared" si="25"/>
        <v>Alto</v>
      </c>
      <c r="T384" s="16"/>
    </row>
    <row r="385" spans="1:20" ht="32.1" customHeight="1">
      <c r="A385" s="452" t="s">
        <v>172</v>
      </c>
      <c r="B385" s="351" t="s">
        <v>2295</v>
      </c>
      <c r="C385" s="348" t="s">
        <v>2296</v>
      </c>
      <c r="D385" s="346">
        <v>115</v>
      </c>
      <c r="E385" s="445"/>
      <c r="F385" s="445">
        <v>0</v>
      </c>
      <c r="G385" s="445"/>
      <c r="H385" s="445"/>
      <c r="I385" s="445"/>
      <c r="J385" s="445"/>
      <c r="K385" s="445"/>
      <c r="L385" s="445"/>
      <c r="M385" s="445"/>
      <c r="N385" s="445">
        <v>0</v>
      </c>
      <c r="O385" s="445"/>
      <c r="P385" s="445"/>
      <c r="Q385" s="620">
        <f t="shared" si="27"/>
        <v>0</v>
      </c>
      <c r="R385" s="331" t="str">
        <f t="shared" si="26"/>
        <v>SI</v>
      </c>
      <c r="S385" s="347" t="str">
        <f t="shared" si="25"/>
        <v>Sin Riesgo</v>
      </c>
      <c r="T385" s="16"/>
    </row>
    <row r="386" spans="1:20" ht="32.1" customHeight="1">
      <c r="A386" s="452" t="s">
        <v>172</v>
      </c>
      <c r="B386" s="351" t="s">
        <v>2297</v>
      </c>
      <c r="C386" s="348" t="s">
        <v>2298</v>
      </c>
      <c r="D386" s="346">
        <v>139</v>
      </c>
      <c r="E386" s="445"/>
      <c r="F386" s="445">
        <v>0</v>
      </c>
      <c r="G386" s="445"/>
      <c r="H386" s="445"/>
      <c r="I386" s="445"/>
      <c r="J386" s="445"/>
      <c r="K386" s="445"/>
      <c r="L386" s="445"/>
      <c r="M386" s="445"/>
      <c r="N386" s="445"/>
      <c r="O386" s="445"/>
      <c r="P386" s="445"/>
      <c r="Q386" s="620">
        <f t="shared" si="27"/>
        <v>0</v>
      </c>
      <c r="R386" s="331" t="str">
        <f t="shared" si="26"/>
        <v>SI</v>
      </c>
      <c r="S386" s="347" t="str">
        <f t="shared" si="25"/>
        <v>Sin Riesgo</v>
      </c>
      <c r="T386" s="16"/>
    </row>
    <row r="387" spans="1:20" ht="32.1" customHeight="1">
      <c r="A387" s="452" t="s">
        <v>172</v>
      </c>
      <c r="B387" s="351" t="s">
        <v>2299</v>
      </c>
      <c r="C387" s="348" t="s">
        <v>2300</v>
      </c>
      <c r="D387" s="346">
        <v>35</v>
      </c>
      <c r="E387" s="445"/>
      <c r="F387" s="445">
        <v>0</v>
      </c>
      <c r="G387" s="445"/>
      <c r="H387" s="445"/>
      <c r="I387" s="445"/>
      <c r="J387" s="445"/>
      <c r="K387" s="445"/>
      <c r="L387" s="445"/>
      <c r="M387" s="445"/>
      <c r="N387" s="445">
        <v>0</v>
      </c>
      <c r="O387" s="445"/>
      <c r="P387" s="445"/>
      <c r="Q387" s="620">
        <f t="shared" si="27"/>
        <v>0</v>
      </c>
      <c r="R387" s="331" t="str">
        <f t="shared" si="26"/>
        <v>SI</v>
      </c>
      <c r="S387" s="347" t="str">
        <f t="shared" si="25"/>
        <v>Sin Riesgo</v>
      </c>
      <c r="T387" s="16"/>
    </row>
    <row r="388" spans="1:20" ht="32.1" customHeight="1">
      <c r="A388" s="452" t="s">
        <v>172</v>
      </c>
      <c r="B388" s="351" t="s">
        <v>43</v>
      </c>
      <c r="C388" s="348" t="s">
        <v>2301</v>
      </c>
      <c r="D388" s="346">
        <v>36</v>
      </c>
      <c r="E388" s="445"/>
      <c r="F388" s="445">
        <v>0</v>
      </c>
      <c r="G388" s="445"/>
      <c r="H388" s="445"/>
      <c r="I388" s="445"/>
      <c r="J388" s="445"/>
      <c r="K388" s="445"/>
      <c r="L388" s="445"/>
      <c r="M388" s="445"/>
      <c r="N388" s="445">
        <v>0</v>
      </c>
      <c r="O388" s="445"/>
      <c r="P388" s="445"/>
      <c r="Q388" s="620">
        <f t="shared" si="27"/>
        <v>0</v>
      </c>
      <c r="R388" s="331" t="str">
        <f t="shared" si="26"/>
        <v>SI</v>
      </c>
      <c r="S388" s="347" t="str">
        <f t="shared" si="25"/>
        <v>Sin Riesgo</v>
      </c>
      <c r="T388" s="16"/>
    </row>
    <row r="389" spans="1:20" ht="32.1" customHeight="1">
      <c r="A389" s="452" t="s">
        <v>172</v>
      </c>
      <c r="B389" s="351" t="s">
        <v>2302</v>
      </c>
      <c r="C389" s="348" t="s">
        <v>2303</v>
      </c>
      <c r="D389" s="346">
        <v>18</v>
      </c>
      <c r="E389" s="445"/>
      <c r="F389" s="445">
        <v>0</v>
      </c>
      <c r="G389" s="445"/>
      <c r="H389" s="445"/>
      <c r="I389" s="445"/>
      <c r="J389" s="445"/>
      <c r="K389" s="445"/>
      <c r="L389" s="445"/>
      <c r="M389" s="445"/>
      <c r="N389" s="445">
        <v>0</v>
      </c>
      <c r="O389" s="445"/>
      <c r="P389" s="445"/>
      <c r="Q389" s="620">
        <f t="shared" si="27"/>
        <v>0</v>
      </c>
      <c r="R389" s="331" t="str">
        <f t="shared" si="26"/>
        <v>SI</v>
      </c>
      <c r="S389" s="347" t="str">
        <f t="shared" si="25"/>
        <v>Sin Riesgo</v>
      </c>
      <c r="T389" s="16"/>
    </row>
    <row r="390" spans="1:20" ht="32.1" customHeight="1">
      <c r="A390" s="452" t="s">
        <v>172</v>
      </c>
      <c r="B390" s="351" t="s">
        <v>62</v>
      </c>
      <c r="C390" s="348" t="s">
        <v>2304</v>
      </c>
      <c r="D390" s="346">
        <v>48</v>
      </c>
      <c r="E390" s="445"/>
      <c r="F390" s="445">
        <v>0</v>
      </c>
      <c r="G390" s="445"/>
      <c r="H390" s="445"/>
      <c r="I390" s="445"/>
      <c r="J390" s="445"/>
      <c r="K390" s="445"/>
      <c r="L390" s="445"/>
      <c r="M390" s="445"/>
      <c r="N390" s="445">
        <v>0</v>
      </c>
      <c r="O390" s="445"/>
      <c r="P390" s="445"/>
      <c r="Q390" s="620">
        <f t="shared" si="27"/>
        <v>0</v>
      </c>
      <c r="R390" s="331" t="str">
        <f t="shared" si="26"/>
        <v>SI</v>
      </c>
      <c r="S390" s="347" t="str">
        <f t="shared" si="25"/>
        <v>Sin Riesgo</v>
      </c>
      <c r="T390" s="16"/>
    </row>
    <row r="391" spans="1:20" ht="32.1" customHeight="1">
      <c r="A391" s="452" t="s">
        <v>172</v>
      </c>
      <c r="B391" s="351" t="s">
        <v>2305</v>
      </c>
      <c r="C391" s="348" t="s">
        <v>2306</v>
      </c>
      <c r="D391" s="346">
        <v>143</v>
      </c>
      <c r="E391" s="445"/>
      <c r="F391" s="445">
        <v>0</v>
      </c>
      <c r="G391" s="445"/>
      <c r="H391" s="445"/>
      <c r="I391" s="445"/>
      <c r="J391" s="445"/>
      <c r="K391" s="445"/>
      <c r="L391" s="445"/>
      <c r="M391" s="445"/>
      <c r="N391" s="445">
        <v>0</v>
      </c>
      <c r="O391" s="445"/>
      <c r="P391" s="445"/>
      <c r="Q391" s="620">
        <f t="shared" si="27"/>
        <v>0</v>
      </c>
      <c r="R391" s="331" t="str">
        <f t="shared" si="26"/>
        <v>SI</v>
      </c>
      <c r="S391" s="347" t="str">
        <f t="shared" si="25"/>
        <v>Sin Riesgo</v>
      </c>
      <c r="T391" s="16"/>
    </row>
    <row r="392" spans="1:20" ht="32.1" customHeight="1">
      <c r="A392" s="452" t="s">
        <v>172</v>
      </c>
      <c r="B392" s="351" t="s">
        <v>2307</v>
      </c>
      <c r="C392" s="348" t="s">
        <v>2308</v>
      </c>
      <c r="D392" s="346">
        <v>27</v>
      </c>
      <c r="E392" s="445"/>
      <c r="F392" s="445">
        <v>0</v>
      </c>
      <c r="G392" s="445"/>
      <c r="H392" s="445"/>
      <c r="I392" s="445"/>
      <c r="J392" s="445"/>
      <c r="K392" s="445"/>
      <c r="L392" s="445"/>
      <c r="M392" s="445"/>
      <c r="N392" s="445">
        <v>0</v>
      </c>
      <c r="O392" s="445"/>
      <c r="P392" s="445"/>
      <c r="Q392" s="620">
        <f t="shared" si="27"/>
        <v>0</v>
      </c>
      <c r="R392" s="331" t="str">
        <f t="shared" si="26"/>
        <v>SI</v>
      </c>
      <c r="S392" s="347" t="str">
        <f t="shared" si="25"/>
        <v>Sin Riesgo</v>
      </c>
      <c r="T392" s="16"/>
    </row>
    <row r="393" spans="1:20" ht="32.1" customHeight="1">
      <c r="A393" s="452" t="s">
        <v>172</v>
      </c>
      <c r="B393" s="351" t="s">
        <v>2309</v>
      </c>
      <c r="C393" s="348" t="s">
        <v>2310</v>
      </c>
      <c r="D393" s="346">
        <v>40</v>
      </c>
      <c r="E393" s="445"/>
      <c r="F393" s="445">
        <v>0</v>
      </c>
      <c r="G393" s="445"/>
      <c r="H393" s="445"/>
      <c r="I393" s="445"/>
      <c r="J393" s="445"/>
      <c r="K393" s="445"/>
      <c r="L393" s="445"/>
      <c r="M393" s="445"/>
      <c r="N393" s="445">
        <v>0</v>
      </c>
      <c r="O393" s="445"/>
      <c r="P393" s="445"/>
      <c r="Q393" s="620">
        <f t="shared" si="27"/>
        <v>0</v>
      </c>
      <c r="R393" s="331" t="str">
        <f t="shared" si="26"/>
        <v>SI</v>
      </c>
      <c r="S393" s="347" t="str">
        <f t="shared" si="25"/>
        <v>Sin Riesgo</v>
      </c>
      <c r="T393" s="16"/>
    </row>
    <row r="394" spans="1:20" ht="32.1" customHeight="1">
      <c r="A394" s="597" t="s">
        <v>172</v>
      </c>
      <c r="B394" s="597" t="s">
        <v>2311</v>
      </c>
      <c r="C394" s="600" t="s">
        <v>2312</v>
      </c>
      <c r="D394" s="353">
        <v>51</v>
      </c>
      <c r="E394" s="368">
        <v>97.9</v>
      </c>
      <c r="F394" s="368"/>
      <c r="G394" s="368"/>
      <c r="H394" s="368"/>
      <c r="I394" s="368"/>
      <c r="J394" s="368"/>
      <c r="K394" s="368"/>
      <c r="L394" s="368"/>
      <c r="M394" s="368"/>
      <c r="N394" s="368"/>
      <c r="O394" s="368"/>
      <c r="P394" s="368">
        <v>97.9</v>
      </c>
      <c r="Q394" s="620">
        <f t="shared" si="27"/>
        <v>97.9</v>
      </c>
      <c r="R394" s="331" t="str">
        <f t="shared" si="26"/>
        <v>NO</v>
      </c>
      <c r="S394" s="347" t="str">
        <f t="shared" si="25"/>
        <v>Inviable Sanitariamente</v>
      </c>
      <c r="T394" s="16"/>
    </row>
    <row r="395" spans="1:20" ht="32.1" customHeight="1">
      <c r="A395" s="597" t="s">
        <v>172</v>
      </c>
      <c r="B395" s="597" t="s">
        <v>2313</v>
      </c>
      <c r="C395" s="600" t="s">
        <v>2314</v>
      </c>
      <c r="D395" s="346">
        <v>33</v>
      </c>
      <c r="E395" s="445"/>
      <c r="F395" s="445">
        <v>0</v>
      </c>
      <c r="G395" s="445"/>
      <c r="H395" s="445"/>
      <c r="I395" s="445"/>
      <c r="J395" s="445"/>
      <c r="K395" s="445"/>
      <c r="L395" s="445"/>
      <c r="M395" s="445"/>
      <c r="N395" s="445">
        <v>0</v>
      </c>
      <c r="O395" s="445"/>
      <c r="P395" s="445"/>
      <c r="Q395" s="620">
        <f t="shared" si="27"/>
        <v>0</v>
      </c>
      <c r="R395" s="331" t="str">
        <f t="shared" si="26"/>
        <v>SI</v>
      </c>
      <c r="S395" s="347" t="str">
        <f t="shared" si="25"/>
        <v>Sin Riesgo</v>
      </c>
      <c r="T395" s="16"/>
    </row>
    <row r="396" spans="1:20" ht="32.1" customHeight="1">
      <c r="A396" s="597" t="s">
        <v>172</v>
      </c>
      <c r="B396" s="610" t="s">
        <v>2315</v>
      </c>
      <c r="C396" s="602" t="s">
        <v>2316</v>
      </c>
      <c r="D396" s="346">
        <v>102</v>
      </c>
      <c r="E396" s="445"/>
      <c r="F396" s="445">
        <v>0</v>
      </c>
      <c r="G396" s="445"/>
      <c r="H396" s="445"/>
      <c r="I396" s="445"/>
      <c r="J396" s="445"/>
      <c r="K396" s="445"/>
      <c r="L396" s="445"/>
      <c r="M396" s="445"/>
      <c r="N396" s="445"/>
      <c r="O396" s="445"/>
      <c r="P396" s="445"/>
      <c r="Q396" s="620">
        <f t="shared" si="27"/>
        <v>0</v>
      </c>
      <c r="R396" s="331" t="str">
        <f t="shared" si="26"/>
        <v>SI</v>
      </c>
      <c r="S396" s="347" t="str">
        <f t="shared" si="25"/>
        <v>Sin Riesgo</v>
      </c>
      <c r="T396" s="16"/>
    </row>
    <row r="397" spans="1:20" ht="32.1" customHeight="1">
      <c r="A397" s="597" t="s">
        <v>172</v>
      </c>
      <c r="B397" s="597" t="s">
        <v>2317</v>
      </c>
      <c r="C397" s="602" t="s">
        <v>2318</v>
      </c>
      <c r="D397" s="304">
        <v>80</v>
      </c>
      <c r="E397" s="368"/>
      <c r="F397" s="368"/>
      <c r="G397" s="368"/>
      <c r="H397" s="368"/>
      <c r="I397" s="368"/>
      <c r="J397" s="368"/>
      <c r="K397" s="368"/>
      <c r="L397" s="368"/>
      <c r="M397" s="368">
        <v>97.9</v>
      </c>
      <c r="N397" s="368"/>
      <c r="O397" s="368"/>
      <c r="P397" s="368"/>
      <c r="Q397" s="620">
        <f t="shared" si="27"/>
        <v>97.9</v>
      </c>
      <c r="R397" s="331" t="str">
        <f t="shared" si="26"/>
        <v>NO</v>
      </c>
      <c r="S397" s="347" t="str">
        <f t="shared" si="25"/>
        <v>Inviable Sanitariamente</v>
      </c>
      <c r="T397" s="16"/>
    </row>
    <row r="398" spans="1:20" ht="32.1" customHeight="1">
      <c r="A398" s="452" t="s">
        <v>172</v>
      </c>
      <c r="B398" s="344" t="s">
        <v>2319</v>
      </c>
      <c r="C398" s="349" t="s">
        <v>2320</v>
      </c>
      <c r="D398" s="346">
        <v>113</v>
      </c>
      <c r="E398" s="445"/>
      <c r="F398" s="445"/>
      <c r="G398" s="445"/>
      <c r="H398" s="445"/>
      <c r="I398" s="445"/>
      <c r="J398" s="445"/>
      <c r="K398" s="445"/>
      <c r="L398" s="445"/>
      <c r="M398" s="445">
        <v>65.569999999999993</v>
      </c>
      <c r="N398" s="445"/>
      <c r="O398" s="445"/>
      <c r="P398" s="445"/>
      <c r="Q398" s="620">
        <f t="shared" si="27"/>
        <v>65.569999999999993</v>
      </c>
      <c r="R398" s="331" t="str">
        <f t="shared" si="26"/>
        <v>NO</v>
      </c>
      <c r="S398" s="347" t="str">
        <f t="shared" ref="S398:S466" si="28">IF(Q398&lt;5,"Sin Riesgo",IF(Q398 &lt;=14,"Bajo",IF(Q398&lt;=35,"Medio",IF(Q398&lt;=80,"Alto","Inviable Sanitariamente"))))</f>
        <v>Alto</v>
      </c>
      <c r="T398" s="16"/>
    </row>
    <row r="399" spans="1:20" ht="32.1" customHeight="1">
      <c r="A399" s="452" t="s">
        <v>3769</v>
      </c>
      <c r="B399" s="344" t="s">
        <v>19</v>
      </c>
      <c r="C399" s="349" t="s">
        <v>2321</v>
      </c>
      <c r="D399" s="346">
        <v>45</v>
      </c>
      <c r="E399" s="445"/>
      <c r="F399" s="445"/>
      <c r="G399" s="445"/>
      <c r="H399" s="445"/>
      <c r="I399" s="445"/>
      <c r="J399" s="445"/>
      <c r="K399" s="445">
        <v>32.26</v>
      </c>
      <c r="L399" s="445"/>
      <c r="M399" s="445"/>
      <c r="N399" s="445"/>
      <c r="O399" s="445"/>
      <c r="P399" s="445">
        <v>26.55</v>
      </c>
      <c r="Q399" s="620">
        <f t="shared" si="27"/>
        <v>29.405000000000001</v>
      </c>
      <c r="R399" s="331" t="str">
        <f t="shared" si="26"/>
        <v>NO</v>
      </c>
      <c r="S399" s="347" t="str">
        <f t="shared" si="28"/>
        <v>Medio</v>
      </c>
      <c r="T399" s="16"/>
    </row>
    <row r="400" spans="1:20" ht="32.1" customHeight="1">
      <c r="A400" s="452" t="s">
        <v>3769</v>
      </c>
      <c r="B400" s="351" t="s">
        <v>2322</v>
      </c>
      <c r="C400" s="348" t="s">
        <v>2323</v>
      </c>
      <c r="D400" s="346">
        <v>250</v>
      </c>
      <c r="E400" s="641">
        <v>20.98</v>
      </c>
      <c r="F400" s="641"/>
      <c r="G400" s="641">
        <v>26.55</v>
      </c>
      <c r="H400" s="641">
        <v>26.55</v>
      </c>
      <c r="I400" s="641">
        <v>26.55</v>
      </c>
      <c r="J400" s="641">
        <v>26.55</v>
      </c>
      <c r="K400" s="445"/>
      <c r="L400" s="445">
        <v>26.58</v>
      </c>
      <c r="M400" s="445">
        <v>26.54</v>
      </c>
      <c r="N400" s="445">
        <v>26.5486</v>
      </c>
      <c r="O400" s="445">
        <v>32.258000000000003</v>
      </c>
      <c r="P400" s="445">
        <v>26.55</v>
      </c>
      <c r="Q400" s="620">
        <f t="shared" si="27"/>
        <v>26.565659999999998</v>
      </c>
      <c r="R400" s="331" t="str">
        <f t="shared" si="26"/>
        <v>NO</v>
      </c>
      <c r="S400" s="347" t="str">
        <f t="shared" si="28"/>
        <v>Medio</v>
      </c>
      <c r="T400" s="16"/>
    </row>
    <row r="401" spans="1:20" ht="32.1" customHeight="1">
      <c r="A401" s="452" t="s">
        <v>3769</v>
      </c>
      <c r="B401" s="344" t="s">
        <v>2280</v>
      </c>
      <c r="C401" s="349" t="s">
        <v>2324</v>
      </c>
      <c r="D401" s="346">
        <v>108</v>
      </c>
      <c r="E401" s="445"/>
      <c r="F401" s="445"/>
      <c r="G401" s="445"/>
      <c r="H401" s="445"/>
      <c r="I401" s="445"/>
      <c r="J401" s="445">
        <v>62.9</v>
      </c>
      <c r="K401" s="445"/>
      <c r="L401" s="445"/>
      <c r="M401" s="445"/>
      <c r="N401" s="445"/>
      <c r="O401" s="445"/>
      <c r="P401" s="445">
        <v>64</v>
      </c>
      <c r="Q401" s="620">
        <f t="shared" si="27"/>
        <v>63.45</v>
      </c>
      <c r="R401" s="331" t="str">
        <f t="shared" si="26"/>
        <v>NO</v>
      </c>
      <c r="S401" s="347" t="str">
        <f t="shared" si="28"/>
        <v>Alto</v>
      </c>
      <c r="T401" s="16"/>
    </row>
    <row r="402" spans="1:20" ht="32.1" customHeight="1">
      <c r="A402" s="452" t="s">
        <v>3769</v>
      </c>
      <c r="B402" s="344" t="s">
        <v>2325</v>
      </c>
      <c r="C402" s="349" t="s">
        <v>2326</v>
      </c>
      <c r="D402" s="346">
        <v>288</v>
      </c>
      <c r="E402" s="445"/>
      <c r="F402" s="445"/>
      <c r="G402" s="445"/>
      <c r="H402" s="445"/>
      <c r="I402" s="445"/>
      <c r="J402" s="445">
        <v>96</v>
      </c>
      <c r="K402" s="445"/>
      <c r="L402" s="445"/>
      <c r="M402" s="445"/>
      <c r="N402" s="445">
        <v>63</v>
      </c>
      <c r="O402" s="445"/>
      <c r="P402" s="445">
        <v>64</v>
      </c>
      <c r="Q402" s="620">
        <f t="shared" si="27"/>
        <v>74.333333333333329</v>
      </c>
      <c r="R402" s="331" t="str">
        <f t="shared" si="26"/>
        <v>NO</v>
      </c>
      <c r="S402" s="347" t="str">
        <f t="shared" si="28"/>
        <v>Alto</v>
      </c>
      <c r="T402" s="16"/>
    </row>
    <row r="403" spans="1:20" ht="32.1" customHeight="1">
      <c r="A403" s="452" t="s">
        <v>3769</v>
      </c>
      <c r="B403" s="344" t="s">
        <v>2327</v>
      </c>
      <c r="C403" s="350" t="s">
        <v>2328</v>
      </c>
      <c r="D403" s="346">
        <v>89</v>
      </c>
      <c r="E403" s="647"/>
      <c r="F403" s="647"/>
      <c r="G403" s="647">
        <v>96.4</v>
      </c>
      <c r="H403" s="647"/>
      <c r="I403" s="647">
        <v>96.39</v>
      </c>
      <c r="J403" s="647"/>
      <c r="K403" s="647"/>
      <c r="L403" s="647"/>
      <c r="M403" s="649"/>
      <c r="N403" s="647">
        <v>63</v>
      </c>
      <c r="O403" s="647"/>
      <c r="P403" s="647"/>
      <c r="Q403" s="620">
        <f t="shared" si="27"/>
        <v>85.263333333333335</v>
      </c>
      <c r="R403" s="331" t="str">
        <f t="shared" si="26"/>
        <v>NO</v>
      </c>
      <c r="S403" s="347" t="str">
        <f t="shared" si="28"/>
        <v>Inviable Sanitariamente</v>
      </c>
      <c r="T403" s="16"/>
    </row>
    <row r="404" spans="1:20" ht="32.1" customHeight="1">
      <c r="A404" s="452" t="s">
        <v>3769</v>
      </c>
      <c r="B404" s="344" t="s">
        <v>1368</v>
      </c>
      <c r="C404" s="349" t="s">
        <v>2329</v>
      </c>
      <c r="D404" s="346">
        <v>34</v>
      </c>
      <c r="E404" s="445"/>
      <c r="F404" s="445"/>
      <c r="G404" s="445">
        <v>96.4</v>
      </c>
      <c r="H404" s="445">
        <v>100</v>
      </c>
      <c r="I404" s="445"/>
      <c r="J404" s="445"/>
      <c r="K404" s="445"/>
      <c r="L404" s="641"/>
      <c r="M404" s="445"/>
      <c r="N404" s="445"/>
      <c r="O404" s="445"/>
      <c r="P404" s="445"/>
      <c r="Q404" s="620">
        <f t="shared" si="27"/>
        <v>98.2</v>
      </c>
      <c r="R404" s="331" t="str">
        <f t="shared" si="26"/>
        <v>NO</v>
      </c>
      <c r="S404" s="347" t="str">
        <f t="shared" si="28"/>
        <v>Inviable Sanitariamente</v>
      </c>
      <c r="T404" s="16"/>
    </row>
    <row r="405" spans="1:20" ht="32.1" customHeight="1">
      <c r="A405" s="452" t="s">
        <v>3769</v>
      </c>
      <c r="B405" s="344" t="s">
        <v>2330</v>
      </c>
      <c r="C405" s="349" t="s">
        <v>2331</v>
      </c>
      <c r="D405" s="346">
        <v>40</v>
      </c>
      <c r="E405" s="445"/>
      <c r="F405" s="650"/>
      <c r="G405" s="650"/>
      <c r="H405" s="650"/>
      <c r="I405" s="650"/>
      <c r="J405" s="650"/>
      <c r="K405" s="650"/>
      <c r="L405" s="650"/>
      <c r="M405" s="651"/>
      <c r="N405" s="650"/>
      <c r="O405" s="650"/>
      <c r="P405" s="650">
        <v>64</v>
      </c>
      <c r="Q405" s="620">
        <f t="shared" si="27"/>
        <v>64</v>
      </c>
      <c r="R405" s="331" t="str">
        <f t="shared" si="26"/>
        <v>NO</v>
      </c>
      <c r="S405" s="347" t="str">
        <f t="shared" si="28"/>
        <v>Alto</v>
      </c>
      <c r="T405" s="16"/>
    </row>
    <row r="406" spans="1:20" ht="32.1" customHeight="1">
      <c r="A406" s="452" t="s">
        <v>3769</v>
      </c>
      <c r="B406" s="344" t="s">
        <v>2332</v>
      </c>
      <c r="C406" s="350" t="s">
        <v>2333</v>
      </c>
      <c r="D406" s="399">
        <v>17</v>
      </c>
      <c r="E406" s="652"/>
      <c r="F406" s="445"/>
      <c r="G406" s="445"/>
      <c r="H406" s="445">
        <v>62.9</v>
      </c>
      <c r="I406" s="445"/>
      <c r="J406" s="445"/>
      <c r="K406" s="445"/>
      <c r="L406" s="445"/>
      <c r="M406" s="445"/>
      <c r="N406" s="445"/>
      <c r="O406" s="445"/>
      <c r="P406" s="445"/>
      <c r="Q406" s="620">
        <f t="shared" si="27"/>
        <v>62.9</v>
      </c>
      <c r="R406" s="331" t="str">
        <f t="shared" si="26"/>
        <v>NO</v>
      </c>
      <c r="S406" s="347" t="str">
        <f t="shared" si="28"/>
        <v>Alto</v>
      </c>
      <c r="T406" s="16"/>
    </row>
    <row r="407" spans="1:20" ht="32.1" customHeight="1">
      <c r="A407" s="452" t="s">
        <v>3769</v>
      </c>
      <c r="B407" s="351" t="s">
        <v>2334</v>
      </c>
      <c r="C407" s="350" t="s">
        <v>2335</v>
      </c>
      <c r="D407" s="346">
        <v>21</v>
      </c>
      <c r="E407" s="653"/>
      <c r="F407" s="445"/>
      <c r="G407" s="445"/>
      <c r="H407" s="445"/>
      <c r="I407" s="445">
        <v>76.900000000000006</v>
      </c>
      <c r="J407" s="445"/>
      <c r="K407" s="445"/>
      <c r="L407" s="445"/>
      <c r="M407" s="445"/>
      <c r="N407" s="445"/>
      <c r="O407" s="445"/>
      <c r="P407" s="445"/>
      <c r="Q407" s="620">
        <f t="shared" si="27"/>
        <v>76.900000000000006</v>
      </c>
      <c r="R407" s="331" t="str">
        <f t="shared" si="26"/>
        <v>NO</v>
      </c>
      <c r="S407" s="347" t="str">
        <f t="shared" si="28"/>
        <v>Alto</v>
      </c>
      <c r="T407" s="16"/>
    </row>
    <row r="408" spans="1:20" ht="32.1" customHeight="1">
      <c r="A408" s="452" t="s">
        <v>3769</v>
      </c>
      <c r="B408" s="344" t="s">
        <v>2336</v>
      </c>
      <c r="C408" s="350" t="s">
        <v>2337</v>
      </c>
      <c r="D408" s="346">
        <v>65</v>
      </c>
      <c r="E408" s="445"/>
      <c r="F408" s="445"/>
      <c r="G408" s="445"/>
      <c r="H408" s="445"/>
      <c r="I408" s="445"/>
      <c r="J408" s="445"/>
      <c r="K408" s="445"/>
      <c r="L408" s="445"/>
      <c r="M408" s="445"/>
      <c r="N408" s="445"/>
      <c r="O408" s="445"/>
      <c r="P408" s="445">
        <v>64</v>
      </c>
      <c r="Q408" s="620">
        <f t="shared" si="27"/>
        <v>64</v>
      </c>
      <c r="R408" s="331" t="str">
        <f t="shared" si="26"/>
        <v>NO</v>
      </c>
      <c r="S408" s="347" t="str">
        <f t="shared" si="28"/>
        <v>Alto</v>
      </c>
      <c r="T408" s="16"/>
    </row>
    <row r="409" spans="1:20" ht="32.1" customHeight="1">
      <c r="A409" s="452" t="s">
        <v>3769</v>
      </c>
      <c r="B409" s="351" t="s">
        <v>2338</v>
      </c>
      <c r="C409" s="350" t="s">
        <v>2339</v>
      </c>
      <c r="D409" s="399">
        <v>182</v>
      </c>
      <c r="E409" s="445">
        <v>0</v>
      </c>
      <c r="F409" s="445"/>
      <c r="G409" s="445">
        <v>0</v>
      </c>
      <c r="H409" s="445"/>
      <c r="I409" s="445">
        <v>0</v>
      </c>
      <c r="J409" s="445"/>
      <c r="K409" s="445">
        <v>26.55</v>
      </c>
      <c r="L409" s="445"/>
      <c r="M409" s="445"/>
      <c r="N409" s="445">
        <v>26.55</v>
      </c>
      <c r="O409" s="445"/>
      <c r="P409" s="445">
        <v>0</v>
      </c>
      <c r="Q409" s="620">
        <f t="shared" si="27"/>
        <v>8.85</v>
      </c>
      <c r="R409" s="331" t="str">
        <f t="shared" si="26"/>
        <v>NO</v>
      </c>
      <c r="S409" s="347" t="str">
        <f t="shared" si="28"/>
        <v>Bajo</v>
      </c>
      <c r="T409" s="16"/>
    </row>
    <row r="410" spans="1:20" ht="32.1" customHeight="1">
      <c r="A410" s="452" t="s">
        <v>3769</v>
      </c>
      <c r="B410" s="351" t="s">
        <v>2340</v>
      </c>
      <c r="C410" s="350" t="s">
        <v>2341</v>
      </c>
      <c r="D410" s="346">
        <v>182</v>
      </c>
      <c r="E410" s="445">
        <v>0</v>
      </c>
      <c r="F410" s="445"/>
      <c r="G410" s="445">
        <v>0</v>
      </c>
      <c r="H410" s="445"/>
      <c r="I410" s="445">
        <v>0</v>
      </c>
      <c r="J410" s="445"/>
      <c r="K410" s="445">
        <v>26.6</v>
      </c>
      <c r="L410" s="445"/>
      <c r="M410" s="445"/>
      <c r="N410" s="445">
        <v>0</v>
      </c>
      <c r="O410" s="445"/>
      <c r="P410" s="445">
        <v>0</v>
      </c>
      <c r="Q410" s="620">
        <f t="shared" si="27"/>
        <v>4.4333333333333336</v>
      </c>
      <c r="R410" s="331" t="str">
        <f t="shared" si="26"/>
        <v>SI</v>
      </c>
      <c r="S410" s="347" t="str">
        <f t="shared" si="28"/>
        <v>Sin Riesgo</v>
      </c>
      <c r="T410" s="16"/>
    </row>
    <row r="411" spans="1:20" ht="32.1" customHeight="1">
      <c r="A411" s="452" t="s">
        <v>3769</v>
      </c>
      <c r="B411" s="344" t="s">
        <v>1018</v>
      </c>
      <c r="C411" s="349" t="s">
        <v>2342</v>
      </c>
      <c r="D411" s="346">
        <v>182</v>
      </c>
      <c r="E411" s="445">
        <v>0</v>
      </c>
      <c r="F411" s="445"/>
      <c r="G411" s="445">
        <v>0</v>
      </c>
      <c r="H411" s="445"/>
      <c r="I411" s="445">
        <v>26.55</v>
      </c>
      <c r="J411" s="445"/>
      <c r="K411" s="445">
        <v>26.55</v>
      </c>
      <c r="L411" s="445"/>
      <c r="M411" s="445"/>
      <c r="N411" s="445">
        <v>0</v>
      </c>
      <c r="O411" s="445"/>
      <c r="P411" s="445">
        <v>0</v>
      </c>
      <c r="Q411" s="620">
        <f t="shared" si="27"/>
        <v>8.85</v>
      </c>
      <c r="R411" s="331" t="str">
        <f t="shared" si="26"/>
        <v>NO</v>
      </c>
      <c r="S411" s="347" t="str">
        <f t="shared" si="28"/>
        <v>Bajo</v>
      </c>
      <c r="T411" s="16"/>
    </row>
    <row r="412" spans="1:20" ht="32.1" customHeight="1">
      <c r="A412" s="452" t="s">
        <v>3769</v>
      </c>
      <c r="B412" s="351" t="s">
        <v>2343</v>
      </c>
      <c r="C412" s="350" t="s">
        <v>2344</v>
      </c>
      <c r="D412" s="399">
        <v>350</v>
      </c>
      <c r="E412" s="445">
        <v>0</v>
      </c>
      <c r="F412" s="445"/>
      <c r="G412" s="445">
        <v>0</v>
      </c>
      <c r="H412" s="445"/>
      <c r="I412" s="445">
        <v>26.55</v>
      </c>
      <c r="J412" s="445"/>
      <c r="K412" s="445"/>
      <c r="L412" s="445">
        <v>26.55</v>
      </c>
      <c r="M412" s="445"/>
      <c r="N412" s="445">
        <v>26.55</v>
      </c>
      <c r="O412" s="445"/>
      <c r="P412" s="445">
        <v>0</v>
      </c>
      <c r="Q412" s="620">
        <f t="shared" si="27"/>
        <v>13.275</v>
      </c>
      <c r="R412" s="331" t="str">
        <f t="shared" si="26"/>
        <v>NO</v>
      </c>
      <c r="S412" s="347" t="str">
        <f t="shared" si="28"/>
        <v>Bajo</v>
      </c>
      <c r="T412" s="16"/>
    </row>
    <row r="413" spans="1:20" ht="32.1" customHeight="1">
      <c r="A413" s="452" t="s">
        <v>3769</v>
      </c>
      <c r="B413" s="344" t="s">
        <v>2345</v>
      </c>
      <c r="C413" s="349" t="s">
        <v>2345</v>
      </c>
      <c r="D413" s="346">
        <v>350</v>
      </c>
      <c r="E413" s="445">
        <v>0</v>
      </c>
      <c r="F413" s="445"/>
      <c r="G413" s="445">
        <v>26.55</v>
      </c>
      <c r="H413" s="445"/>
      <c r="I413" s="445">
        <v>26.55</v>
      </c>
      <c r="J413" s="445"/>
      <c r="K413" s="445"/>
      <c r="L413" s="445">
        <v>26.6</v>
      </c>
      <c r="M413" s="445"/>
      <c r="N413" s="445">
        <v>26.6</v>
      </c>
      <c r="O413" s="445"/>
      <c r="P413" s="445">
        <v>0</v>
      </c>
      <c r="Q413" s="620">
        <f t="shared" si="27"/>
        <v>17.716666666666669</v>
      </c>
      <c r="R413" s="331" t="str">
        <f t="shared" si="26"/>
        <v>NO</v>
      </c>
      <c r="S413" s="347" t="str">
        <f t="shared" si="28"/>
        <v>Medio</v>
      </c>
      <c r="T413" s="16"/>
    </row>
    <row r="414" spans="1:20" ht="32.1" customHeight="1">
      <c r="A414" s="452" t="s">
        <v>3769</v>
      </c>
      <c r="B414" s="344" t="s">
        <v>2346</v>
      </c>
      <c r="C414" s="349" t="s">
        <v>2347</v>
      </c>
      <c r="D414" s="346">
        <v>48</v>
      </c>
      <c r="E414" s="445"/>
      <c r="F414" s="445">
        <v>70.8</v>
      </c>
      <c r="G414" s="445"/>
      <c r="H414" s="445"/>
      <c r="I414" s="445"/>
      <c r="J414" s="445"/>
      <c r="K414" s="445"/>
      <c r="L414" s="445"/>
      <c r="M414" s="445"/>
      <c r="N414" s="445"/>
      <c r="O414" s="445">
        <v>70.8</v>
      </c>
      <c r="P414" s="445"/>
      <c r="Q414" s="620">
        <f t="shared" si="27"/>
        <v>70.8</v>
      </c>
      <c r="R414" s="331" t="str">
        <f t="shared" si="26"/>
        <v>NO</v>
      </c>
      <c r="S414" s="347" t="str">
        <f t="shared" si="28"/>
        <v>Alto</v>
      </c>
      <c r="T414" s="16"/>
    </row>
    <row r="415" spans="1:20" ht="32.1" customHeight="1">
      <c r="A415" s="452" t="s">
        <v>3769</v>
      </c>
      <c r="B415" s="351" t="s">
        <v>95</v>
      </c>
      <c r="C415" s="350" t="s">
        <v>2348</v>
      </c>
      <c r="D415" s="346">
        <v>180</v>
      </c>
      <c r="E415" s="445"/>
      <c r="F415" s="445"/>
      <c r="G415" s="445"/>
      <c r="H415" s="445">
        <v>62.9</v>
      </c>
      <c r="I415" s="445"/>
      <c r="J415" s="445"/>
      <c r="K415" s="445">
        <v>62.94</v>
      </c>
      <c r="L415" s="445"/>
      <c r="M415" s="445"/>
      <c r="N415" s="445"/>
      <c r="O415" s="445"/>
      <c r="P415" s="445"/>
      <c r="Q415" s="620">
        <f t="shared" si="27"/>
        <v>62.92</v>
      </c>
      <c r="R415" s="331" t="str">
        <f t="shared" si="26"/>
        <v>NO</v>
      </c>
      <c r="S415" s="347" t="str">
        <f t="shared" si="28"/>
        <v>Alto</v>
      </c>
      <c r="T415" s="16"/>
    </row>
    <row r="416" spans="1:20" ht="32.1" customHeight="1">
      <c r="A416" s="452" t="s">
        <v>3769</v>
      </c>
      <c r="B416" s="344" t="s">
        <v>809</v>
      </c>
      <c r="C416" s="349" t="s">
        <v>2349</v>
      </c>
      <c r="D416" s="346">
        <v>350</v>
      </c>
      <c r="E416" s="654">
        <v>0</v>
      </c>
      <c r="F416" s="641"/>
      <c r="G416" s="655">
        <v>0</v>
      </c>
      <c r="H416" s="655"/>
      <c r="I416" s="655">
        <v>26.55</v>
      </c>
      <c r="J416" s="655"/>
      <c r="K416" s="655"/>
      <c r="L416" s="655">
        <v>26.55</v>
      </c>
      <c r="M416" s="655"/>
      <c r="N416" s="655">
        <v>0</v>
      </c>
      <c r="O416" s="655"/>
      <c r="P416" s="656">
        <v>0</v>
      </c>
      <c r="Q416" s="620">
        <f t="shared" si="27"/>
        <v>8.85</v>
      </c>
      <c r="R416" s="331" t="str">
        <f t="shared" si="26"/>
        <v>NO</v>
      </c>
      <c r="S416" s="347" t="str">
        <f t="shared" si="28"/>
        <v>Bajo</v>
      </c>
      <c r="T416" s="16"/>
    </row>
    <row r="417" spans="1:20" ht="32.1" customHeight="1">
      <c r="A417" s="452" t="s">
        <v>3769</v>
      </c>
      <c r="B417" s="344" t="s">
        <v>1248</v>
      </c>
      <c r="C417" s="350" t="s">
        <v>2350</v>
      </c>
      <c r="D417" s="346">
        <v>74</v>
      </c>
      <c r="E417" s="657"/>
      <c r="F417" s="651">
        <v>26.55</v>
      </c>
      <c r="G417" s="658"/>
      <c r="H417" s="658"/>
      <c r="I417" s="658"/>
      <c r="J417" s="658"/>
      <c r="K417" s="658"/>
      <c r="L417" s="658"/>
      <c r="M417" s="658">
        <v>53.09</v>
      </c>
      <c r="N417" s="658"/>
      <c r="O417" s="658" t="s">
        <v>1539</v>
      </c>
      <c r="P417" s="659"/>
      <c r="Q417" s="620">
        <f t="shared" si="27"/>
        <v>39.82</v>
      </c>
      <c r="R417" s="331" t="str">
        <f t="shared" si="26"/>
        <v>NO</v>
      </c>
      <c r="S417" s="347" t="str">
        <f t="shared" si="28"/>
        <v>Alto</v>
      </c>
      <c r="T417" s="16"/>
    </row>
    <row r="418" spans="1:20" ht="32.1" customHeight="1">
      <c r="A418" s="452" t="s">
        <v>3769</v>
      </c>
      <c r="B418" s="351" t="s">
        <v>2351</v>
      </c>
      <c r="C418" s="350" t="s">
        <v>2352</v>
      </c>
      <c r="D418" s="346">
        <v>114</v>
      </c>
      <c r="E418" s="445"/>
      <c r="F418" s="445"/>
      <c r="G418" s="445"/>
      <c r="H418" s="445"/>
      <c r="I418" s="445"/>
      <c r="J418" s="445">
        <v>76.900000000000006</v>
      </c>
      <c r="K418" s="445"/>
      <c r="L418" s="445"/>
      <c r="M418" s="445"/>
      <c r="N418" s="445"/>
      <c r="O418" s="445"/>
      <c r="P418" s="445"/>
      <c r="Q418" s="620">
        <f t="shared" si="27"/>
        <v>76.900000000000006</v>
      </c>
      <c r="R418" s="331" t="str">
        <f t="shared" si="26"/>
        <v>NO</v>
      </c>
      <c r="S418" s="347" t="str">
        <f t="shared" si="28"/>
        <v>Alto</v>
      </c>
      <c r="T418" s="16"/>
    </row>
    <row r="419" spans="1:20" ht="32.1" customHeight="1">
      <c r="A419" s="452" t="s">
        <v>3769</v>
      </c>
      <c r="B419" s="344" t="s">
        <v>2353</v>
      </c>
      <c r="C419" s="349" t="s">
        <v>2354</v>
      </c>
      <c r="D419" s="346">
        <v>114</v>
      </c>
      <c r="E419" s="445"/>
      <c r="F419" s="445"/>
      <c r="G419" s="445"/>
      <c r="H419" s="445"/>
      <c r="I419" s="445"/>
      <c r="J419" s="445"/>
      <c r="K419" s="445"/>
      <c r="L419" s="445"/>
      <c r="M419" s="445"/>
      <c r="N419" s="445"/>
      <c r="O419" s="445">
        <v>64</v>
      </c>
      <c r="P419" s="445"/>
      <c r="Q419" s="620">
        <f t="shared" si="27"/>
        <v>64</v>
      </c>
      <c r="R419" s="331" t="str">
        <f t="shared" si="26"/>
        <v>NO</v>
      </c>
      <c r="S419" s="347" t="str">
        <f t="shared" si="28"/>
        <v>Alto</v>
      </c>
      <c r="T419" s="16"/>
    </row>
    <row r="420" spans="1:20" ht="32.1" customHeight="1">
      <c r="A420" s="452" t="s">
        <v>3769</v>
      </c>
      <c r="B420" s="344" t="s">
        <v>555</v>
      </c>
      <c r="C420" s="349" t="s">
        <v>2355</v>
      </c>
      <c r="D420" s="346">
        <v>114</v>
      </c>
      <c r="E420" s="445"/>
      <c r="F420" s="445"/>
      <c r="G420" s="445"/>
      <c r="H420" s="445">
        <v>42</v>
      </c>
      <c r="I420" s="445"/>
      <c r="J420" s="445"/>
      <c r="K420" s="445"/>
      <c r="L420" s="445"/>
      <c r="M420" s="445">
        <v>70.790000000000006</v>
      </c>
      <c r="N420" s="445"/>
      <c r="O420" s="445"/>
      <c r="P420" s="445"/>
      <c r="Q420" s="620">
        <f t="shared" si="27"/>
        <v>56.395000000000003</v>
      </c>
      <c r="R420" s="331" t="str">
        <f t="shared" si="26"/>
        <v>NO</v>
      </c>
      <c r="S420" s="347" t="str">
        <f t="shared" si="28"/>
        <v>Alto</v>
      </c>
      <c r="T420" s="16"/>
    </row>
    <row r="421" spans="1:20" ht="32.1" customHeight="1">
      <c r="A421" s="452" t="s">
        <v>3769</v>
      </c>
      <c r="B421" s="340" t="s">
        <v>2356</v>
      </c>
      <c r="C421" s="350" t="s">
        <v>2357</v>
      </c>
      <c r="D421" s="346">
        <v>26</v>
      </c>
      <c r="E421" s="445">
        <v>97.345100000000002</v>
      </c>
      <c r="F421" s="445"/>
      <c r="G421" s="445"/>
      <c r="H421" s="445"/>
      <c r="I421" s="445"/>
      <c r="J421" s="445"/>
      <c r="K421" s="445"/>
      <c r="L421" s="445"/>
      <c r="M421" s="445"/>
      <c r="N421" s="445"/>
      <c r="O421" s="445"/>
      <c r="P421" s="445"/>
      <c r="Q421" s="620">
        <f t="shared" si="27"/>
        <v>97.345100000000002</v>
      </c>
      <c r="R421" s="331" t="str">
        <f t="shared" si="26"/>
        <v>NO</v>
      </c>
      <c r="S421" s="347" t="str">
        <f t="shared" si="28"/>
        <v>Inviable Sanitariamente</v>
      </c>
      <c r="T421" s="16"/>
    </row>
    <row r="422" spans="1:20" ht="32.1" customHeight="1">
      <c r="A422" s="452" t="s">
        <v>3769</v>
      </c>
      <c r="B422" s="351" t="s">
        <v>2</v>
      </c>
      <c r="C422" s="348" t="s">
        <v>2358</v>
      </c>
      <c r="D422" s="346">
        <v>37</v>
      </c>
      <c r="E422" s="445"/>
      <c r="F422" s="445"/>
      <c r="G422" s="445"/>
      <c r="H422" s="445"/>
      <c r="I422" s="445"/>
      <c r="J422" s="445"/>
      <c r="K422" s="445"/>
      <c r="L422" s="445"/>
      <c r="M422" s="445"/>
      <c r="N422" s="445"/>
      <c r="O422" s="445">
        <v>97.4</v>
      </c>
      <c r="P422" s="445"/>
      <c r="Q422" s="620">
        <f t="shared" si="27"/>
        <v>97.4</v>
      </c>
      <c r="R422" s="331" t="str">
        <f t="shared" si="26"/>
        <v>NO</v>
      </c>
      <c r="S422" s="347" t="str">
        <f t="shared" si="28"/>
        <v>Inviable Sanitariamente</v>
      </c>
      <c r="T422" s="16"/>
    </row>
    <row r="423" spans="1:20" ht="32.1" customHeight="1">
      <c r="A423" s="452" t="s">
        <v>3769</v>
      </c>
      <c r="B423" s="344" t="s">
        <v>1</v>
      </c>
      <c r="C423" s="350" t="s">
        <v>2359</v>
      </c>
      <c r="D423" s="346">
        <v>69</v>
      </c>
      <c r="E423" s="445"/>
      <c r="F423" s="445"/>
      <c r="G423" s="445"/>
      <c r="H423" s="445"/>
      <c r="I423" s="445">
        <v>76.92</v>
      </c>
      <c r="J423" s="445"/>
      <c r="K423" s="445"/>
      <c r="L423" s="445"/>
      <c r="M423" s="445"/>
      <c r="N423" s="445"/>
      <c r="O423" s="445">
        <v>64</v>
      </c>
      <c r="P423" s="445"/>
      <c r="Q423" s="620">
        <f t="shared" si="27"/>
        <v>70.460000000000008</v>
      </c>
      <c r="R423" s="331" t="str">
        <f t="shared" si="26"/>
        <v>NO</v>
      </c>
      <c r="S423" s="347" t="str">
        <f t="shared" si="28"/>
        <v>Alto</v>
      </c>
      <c r="T423" s="16"/>
    </row>
    <row r="424" spans="1:20" ht="32.1" customHeight="1">
      <c r="A424" s="452" t="s">
        <v>3769</v>
      </c>
      <c r="B424" s="351" t="s">
        <v>1800</v>
      </c>
      <c r="C424" s="348" t="s">
        <v>2360</v>
      </c>
      <c r="D424" s="346">
        <v>19</v>
      </c>
      <c r="E424" s="445"/>
      <c r="F424" s="445"/>
      <c r="G424" s="445"/>
      <c r="H424" s="445"/>
      <c r="I424" s="445">
        <v>76.900000000000006</v>
      </c>
      <c r="J424" s="445"/>
      <c r="K424" s="445"/>
      <c r="L424" s="445"/>
      <c r="M424" s="445"/>
      <c r="N424" s="445"/>
      <c r="O424" s="445">
        <v>64</v>
      </c>
      <c r="P424" s="445"/>
      <c r="Q424" s="620">
        <f t="shared" si="27"/>
        <v>70.45</v>
      </c>
      <c r="R424" s="331" t="str">
        <f t="shared" si="26"/>
        <v>NO</v>
      </c>
      <c r="S424" s="347" t="str">
        <f t="shared" si="28"/>
        <v>Alto</v>
      </c>
      <c r="T424" s="16"/>
    </row>
    <row r="425" spans="1:20" ht="32.1" customHeight="1">
      <c r="A425" s="452" t="s">
        <v>3769</v>
      </c>
      <c r="B425" s="344" t="s">
        <v>2361</v>
      </c>
      <c r="C425" s="349" t="s">
        <v>2362</v>
      </c>
      <c r="D425" s="346">
        <v>42</v>
      </c>
      <c r="E425" s="445">
        <v>96.38</v>
      </c>
      <c r="F425" s="445"/>
      <c r="G425" s="445"/>
      <c r="H425" s="445"/>
      <c r="I425" s="445"/>
      <c r="J425" s="445"/>
      <c r="K425" s="445"/>
      <c r="L425" s="445"/>
      <c r="M425" s="445"/>
      <c r="N425" s="445"/>
      <c r="O425" s="445"/>
      <c r="P425" s="445"/>
      <c r="Q425" s="620">
        <f t="shared" si="27"/>
        <v>96.38</v>
      </c>
      <c r="R425" s="331" t="str">
        <f t="shared" si="26"/>
        <v>NO</v>
      </c>
      <c r="S425" s="347" t="str">
        <f t="shared" si="28"/>
        <v>Inviable Sanitariamente</v>
      </c>
      <c r="T425" s="16"/>
    </row>
    <row r="426" spans="1:20" ht="32.1" customHeight="1">
      <c r="A426" s="452" t="s">
        <v>3769</v>
      </c>
      <c r="B426" s="344" t="s">
        <v>2363</v>
      </c>
      <c r="C426" s="349" t="s">
        <v>2364</v>
      </c>
      <c r="D426" s="346">
        <v>50</v>
      </c>
      <c r="E426" s="445"/>
      <c r="F426" s="445"/>
      <c r="G426" s="445"/>
      <c r="H426" s="445"/>
      <c r="I426" s="445"/>
      <c r="J426" s="445"/>
      <c r="K426" s="445"/>
      <c r="L426" s="445"/>
      <c r="M426" s="445"/>
      <c r="N426" s="445">
        <v>88</v>
      </c>
      <c r="O426" s="445">
        <v>66</v>
      </c>
      <c r="P426" s="445"/>
      <c r="Q426" s="620">
        <f t="shared" si="27"/>
        <v>77</v>
      </c>
      <c r="R426" s="331" t="str">
        <f t="shared" si="26"/>
        <v>NO</v>
      </c>
      <c r="S426" s="347" t="str">
        <f t="shared" si="28"/>
        <v>Alto</v>
      </c>
      <c r="T426" s="16"/>
    </row>
    <row r="427" spans="1:20" ht="32.1" customHeight="1">
      <c r="A427" s="597" t="s">
        <v>3769</v>
      </c>
      <c r="B427" s="610" t="s">
        <v>2</v>
      </c>
      <c r="C427" s="602" t="s">
        <v>361</v>
      </c>
      <c r="D427" s="304">
        <v>30</v>
      </c>
      <c r="E427" s="368"/>
      <c r="F427" s="368"/>
      <c r="G427" s="368"/>
      <c r="H427" s="368"/>
      <c r="I427" s="368"/>
      <c r="J427" s="368"/>
      <c r="K427" s="368">
        <v>76.92</v>
      </c>
      <c r="L427" s="368"/>
      <c r="M427" s="368"/>
      <c r="N427" s="368"/>
      <c r="O427" s="368"/>
      <c r="P427" s="368"/>
      <c r="Q427" s="620">
        <f t="shared" si="27"/>
        <v>76.92</v>
      </c>
      <c r="R427" s="331" t="str">
        <f t="shared" si="26"/>
        <v>NO</v>
      </c>
      <c r="S427" s="347" t="str">
        <f t="shared" si="28"/>
        <v>Alto</v>
      </c>
      <c r="T427" s="16"/>
    </row>
    <row r="428" spans="1:20" ht="32.1" customHeight="1">
      <c r="A428" s="452" t="s">
        <v>3769</v>
      </c>
      <c r="B428" s="344" t="s">
        <v>2365</v>
      </c>
      <c r="C428" s="349" t="s">
        <v>2366</v>
      </c>
      <c r="D428" s="346">
        <v>40</v>
      </c>
      <c r="E428" s="445"/>
      <c r="F428" s="445"/>
      <c r="G428" s="445"/>
      <c r="H428" s="445">
        <v>96.38</v>
      </c>
      <c r="I428" s="445"/>
      <c r="J428" s="445">
        <v>62.9</v>
      </c>
      <c r="K428" s="445"/>
      <c r="L428" s="445"/>
      <c r="M428" s="445"/>
      <c r="N428" s="445"/>
      <c r="O428" s="445"/>
      <c r="P428" s="445"/>
      <c r="Q428" s="620">
        <f t="shared" si="27"/>
        <v>79.64</v>
      </c>
      <c r="R428" s="331" t="str">
        <f t="shared" si="26"/>
        <v>NO</v>
      </c>
      <c r="S428" s="347" t="str">
        <f t="shared" si="28"/>
        <v>Alto</v>
      </c>
      <c r="T428" s="16"/>
    </row>
    <row r="429" spans="1:20" ht="32.1" customHeight="1">
      <c r="A429" s="452" t="s">
        <v>3769</v>
      </c>
      <c r="B429" s="344" t="s">
        <v>2367</v>
      </c>
      <c r="C429" s="349" t="s">
        <v>2368</v>
      </c>
      <c r="D429" s="346">
        <v>54</v>
      </c>
      <c r="E429" s="445"/>
      <c r="F429" s="445">
        <v>70.8</v>
      </c>
      <c r="G429" s="445"/>
      <c r="H429" s="445"/>
      <c r="I429" s="445"/>
      <c r="J429" s="445"/>
      <c r="K429" s="445"/>
      <c r="L429" s="445"/>
      <c r="M429" s="445">
        <v>53.09</v>
      </c>
      <c r="N429" s="445"/>
      <c r="O429" s="445"/>
      <c r="P429" s="445">
        <v>26.54</v>
      </c>
      <c r="Q429" s="620">
        <f t="shared" si="27"/>
        <v>50.143333333333338</v>
      </c>
      <c r="R429" s="331" t="str">
        <f t="shared" si="26"/>
        <v>NO</v>
      </c>
      <c r="S429" s="347" t="str">
        <f t="shared" si="28"/>
        <v>Alto</v>
      </c>
      <c r="T429" s="16"/>
    </row>
    <row r="430" spans="1:20" ht="32.1" customHeight="1">
      <c r="A430" s="452" t="s">
        <v>3769</v>
      </c>
      <c r="B430" s="351" t="s">
        <v>2369</v>
      </c>
      <c r="C430" s="348" t="s">
        <v>2370</v>
      </c>
      <c r="D430" s="346">
        <v>72</v>
      </c>
      <c r="E430" s="445"/>
      <c r="F430" s="445">
        <v>96.38</v>
      </c>
      <c r="G430" s="445"/>
      <c r="H430" s="445"/>
      <c r="I430" s="445"/>
      <c r="J430" s="445"/>
      <c r="K430" s="445"/>
      <c r="L430" s="445"/>
      <c r="M430" s="445"/>
      <c r="N430" s="445"/>
      <c r="O430" s="445"/>
      <c r="P430" s="445"/>
      <c r="Q430" s="620">
        <f t="shared" si="27"/>
        <v>96.38</v>
      </c>
      <c r="R430" s="331" t="str">
        <f t="shared" ref="R430:R494" si="29">IF(Q430&lt;5,"SI","NO")</f>
        <v>NO</v>
      </c>
      <c r="S430" s="347" t="str">
        <f t="shared" si="28"/>
        <v>Inviable Sanitariamente</v>
      </c>
      <c r="T430" s="16"/>
    </row>
    <row r="431" spans="1:20" ht="32.1" customHeight="1">
      <c r="A431" s="452" t="s">
        <v>3769</v>
      </c>
      <c r="B431" s="344" t="s">
        <v>2371</v>
      </c>
      <c r="C431" s="349" t="s">
        <v>2372</v>
      </c>
      <c r="D431" s="346">
        <v>40</v>
      </c>
      <c r="E431" s="445"/>
      <c r="F431" s="445"/>
      <c r="G431" s="445"/>
      <c r="H431" s="445"/>
      <c r="I431" s="445"/>
      <c r="J431" s="445">
        <v>83.9</v>
      </c>
      <c r="K431" s="445"/>
      <c r="L431" s="445"/>
      <c r="M431" s="445"/>
      <c r="N431" s="445"/>
      <c r="O431" s="445"/>
      <c r="P431" s="445"/>
      <c r="Q431" s="620">
        <f t="shared" ref="Q431:Q495" si="30">AVERAGE(E431:P431)</f>
        <v>83.9</v>
      </c>
      <c r="R431" s="331" t="str">
        <f t="shared" si="29"/>
        <v>NO</v>
      </c>
      <c r="S431" s="347" t="str">
        <f t="shared" si="28"/>
        <v>Inviable Sanitariamente</v>
      </c>
      <c r="T431" s="16"/>
    </row>
    <row r="432" spans="1:20" ht="32.1" customHeight="1">
      <c r="A432" s="452" t="s">
        <v>174</v>
      </c>
      <c r="B432" s="344" t="s">
        <v>2373</v>
      </c>
      <c r="C432" s="349" t="s">
        <v>2374</v>
      </c>
      <c r="D432" s="346">
        <v>70</v>
      </c>
      <c r="E432" s="445"/>
      <c r="F432" s="445"/>
      <c r="G432" s="445">
        <v>0</v>
      </c>
      <c r="H432" s="445"/>
      <c r="I432" s="445"/>
      <c r="J432" s="445"/>
      <c r="K432" s="445"/>
      <c r="L432" s="445"/>
      <c r="M432" s="445"/>
      <c r="N432" s="445"/>
      <c r="O432" s="445"/>
      <c r="P432" s="445"/>
      <c r="Q432" s="620">
        <f t="shared" si="30"/>
        <v>0</v>
      </c>
      <c r="R432" s="331" t="str">
        <f t="shared" si="29"/>
        <v>SI</v>
      </c>
      <c r="S432" s="347" t="str">
        <f t="shared" si="28"/>
        <v>Sin Riesgo</v>
      </c>
      <c r="T432" s="16"/>
    </row>
    <row r="433" spans="1:20" ht="32.1" customHeight="1">
      <c r="A433" s="452" t="s">
        <v>174</v>
      </c>
      <c r="B433" s="344" t="s">
        <v>2375</v>
      </c>
      <c r="C433" s="349" t="s">
        <v>2376</v>
      </c>
      <c r="D433" s="346">
        <v>25</v>
      </c>
      <c r="E433" s="445"/>
      <c r="F433" s="445"/>
      <c r="G433" s="445"/>
      <c r="H433" s="445"/>
      <c r="I433" s="445"/>
      <c r="J433" s="445"/>
      <c r="K433" s="445"/>
      <c r="L433" s="445"/>
      <c r="M433" s="445"/>
      <c r="N433" s="445">
        <v>96.4</v>
      </c>
      <c r="O433" s="445"/>
      <c r="P433" s="445"/>
      <c r="Q433" s="620">
        <f t="shared" si="30"/>
        <v>96.4</v>
      </c>
      <c r="R433" s="331" t="str">
        <f t="shared" si="29"/>
        <v>NO</v>
      </c>
      <c r="S433" s="347" t="str">
        <f t="shared" si="28"/>
        <v>Inviable Sanitariamente</v>
      </c>
      <c r="T433" s="16"/>
    </row>
    <row r="434" spans="1:20" ht="32.1" customHeight="1">
      <c r="A434" s="452" t="s">
        <v>174</v>
      </c>
      <c r="B434" s="344" t="s">
        <v>2377</v>
      </c>
      <c r="C434" s="350" t="s">
        <v>2378</v>
      </c>
      <c r="D434" s="346">
        <v>80</v>
      </c>
      <c r="E434" s="445"/>
      <c r="F434" s="445"/>
      <c r="G434" s="445"/>
      <c r="H434" s="445"/>
      <c r="I434" s="445"/>
      <c r="J434" s="445"/>
      <c r="K434" s="445"/>
      <c r="L434" s="445"/>
      <c r="M434" s="445"/>
      <c r="N434" s="445"/>
      <c r="O434" s="445">
        <v>96.4</v>
      </c>
      <c r="P434" s="445"/>
      <c r="Q434" s="620">
        <f t="shared" si="30"/>
        <v>96.4</v>
      </c>
      <c r="R434" s="331" t="str">
        <f t="shared" si="29"/>
        <v>NO</v>
      </c>
      <c r="S434" s="347" t="str">
        <f t="shared" si="28"/>
        <v>Inviable Sanitariamente</v>
      </c>
      <c r="T434" s="16"/>
    </row>
    <row r="435" spans="1:20" ht="32.1" customHeight="1">
      <c r="A435" s="597" t="s">
        <v>174</v>
      </c>
      <c r="B435" s="597" t="s">
        <v>1944</v>
      </c>
      <c r="C435" s="602" t="s">
        <v>2379</v>
      </c>
      <c r="D435" s="346">
        <v>30</v>
      </c>
      <c r="E435" s="445"/>
      <c r="F435" s="445"/>
      <c r="G435" s="445"/>
      <c r="H435" s="445"/>
      <c r="I435" s="445"/>
      <c r="J435" s="445"/>
      <c r="K435" s="445"/>
      <c r="L435" s="445"/>
      <c r="M435" s="445">
        <v>36.14</v>
      </c>
      <c r="N435" s="445"/>
      <c r="O435" s="445"/>
      <c r="P435" s="445"/>
      <c r="Q435" s="620">
        <f t="shared" si="30"/>
        <v>36.14</v>
      </c>
      <c r="R435" s="331" t="str">
        <f t="shared" si="29"/>
        <v>NO</v>
      </c>
      <c r="S435" s="347" t="str">
        <f t="shared" si="28"/>
        <v>Alto</v>
      </c>
      <c r="T435" s="16"/>
    </row>
    <row r="436" spans="1:20" ht="32.1" customHeight="1">
      <c r="A436" s="597" t="s">
        <v>174</v>
      </c>
      <c r="B436" s="597" t="s">
        <v>2380</v>
      </c>
      <c r="C436" s="600" t="s">
        <v>2381</v>
      </c>
      <c r="D436" s="346">
        <v>40</v>
      </c>
      <c r="E436" s="445"/>
      <c r="F436" s="445"/>
      <c r="G436" s="445"/>
      <c r="H436" s="445"/>
      <c r="I436" s="445"/>
      <c r="J436" s="445"/>
      <c r="K436" s="445"/>
      <c r="L436" s="445"/>
      <c r="M436" s="445">
        <v>96.39</v>
      </c>
      <c r="N436" s="445"/>
      <c r="O436" s="445"/>
      <c r="P436" s="445"/>
      <c r="Q436" s="620">
        <f t="shared" si="30"/>
        <v>96.39</v>
      </c>
      <c r="R436" s="331" t="str">
        <f t="shared" si="29"/>
        <v>NO</v>
      </c>
      <c r="S436" s="347" t="str">
        <f t="shared" si="28"/>
        <v>Inviable Sanitariamente</v>
      </c>
      <c r="T436" s="16"/>
    </row>
    <row r="437" spans="1:20" ht="32.1" customHeight="1">
      <c r="A437" s="597" t="s">
        <v>174</v>
      </c>
      <c r="B437" s="597" t="s">
        <v>2382</v>
      </c>
      <c r="C437" s="602" t="s">
        <v>2383</v>
      </c>
      <c r="D437" s="346">
        <v>50</v>
      </c>
      <c r="E437" s="445"/>
      <c r="F437" s="445"/>
      <c r="G437" s="445"/>
      <c r="H437" s="445"/>
      <c r="I437" s="445"/>
      <c r="J437" s="445"/>
      <c r="K437" s="445"/>
      <c r="L437" s="445"/>
      <c r="M437" s="445">
        <v>0</v>
      </c>
      <c r="N437" s="445"/>
      <c r="O437" s="445"/>
      <c r="P437" s="445"/>
      <c r="Q437" s="620">
        <f t="shared" si="30"/>
        <v>0</v>
      </c>
      <c r="R437" s="331" t="str">
        <f t="shared" si="29"/>
        <v>SI</v>
      </c>
      <c r="S437" s="347" t="str">
        <f t="shared" si="28"/>
        <v>Sin Riesgo</v>
      </c>
      <c r="T437" s="16"/>
    </row>
    <row r="438" spans="1:20" ht="32.1" customHeight="1">
      <c r="A438" s="597" t="s">
        <v>174</v>
      </c>
      <c r="B438" s="597" t="s">
        <v>2384</v>
      </c>
      <c r="C438" s="602" t="s">
        <v>2385</v>
      </c>
      <c r="D438" s="399">
        <v>45</v>
      </c>
      <c r="E438" s="445"/>
      <c r="F438" s="445"/>
      <c r="G438" s="445"/>
      <c r="H438" s="445"/>
      <c r="I438" s="445"/>
      <c r="J438" s="445"/>
      <c r="K438" s="445"/>
      <c r="L438" s="445"/>
      <c r="M438" s="445"/>
      <c r="N438" s="445">
        <v>96.4</v>
      </c>
      <c r="O438" s="445"/>
      <c r="P438" s="445"/>
      <c r="Q438" s="620">
        <f t="shared" si="30"/>
        <v>96.4</v>
      </c>
      <c r="R438" s="331" t="str">
        <f t="shared" si="29"/>
        <v>NO</v>
      </c>
      <c r="S438" s="347" t="str">
        <f t="shared" si="28"/>
        <v>Inviable Sanitariamente</v>
      </c>
      <c r="T438" s="16"/>
    </row>
    <row r="439" spans="1:20" ht="32.1" customHeight="1">
      <c r="A439" s="597" t="s">
        <v>174</v>
      </c>
      <c r="B439" s="597" t="s">
        <v>748</v>
      </c>
      <c r="C439" s="600" t="s">
        <v>2386</v>
      </c>
      <c r="D439" s="346">
        <v>35</v>
      </c>
      <c r="E439" s="445"/>
      <c r="F439" s="445"/>
      <c r="G439" s="445"/>
      <c r="H439" s="445">
        <v>0</v>
      </c>
      <c r="I439" s="445"/>
      <c r="J439" s="445"/>
      <c r="K439" s="445"/>
      <c r="L439" s="445">
        <v>0</v>
      </c>
      <c r="M439" s="445"/>
      <c r="N439" s="445"/>
      <c r="O439" s="445"/>
      <c r="P439" s="445"/>
      <c r="Q439" s="620">
        <f>AVERAGE(E439:P439)</f>
        <v>0</v>
      </c>
      <c r="R439" s="331" t="str">
        <f>IF(Q439&lt;5,"SI","NO")</f>
        <v>SI</v>
      </c>
      <c r="S439" s="347" t="str">
        <f>IF(Q439&lt;5,"Sin Riesgo",IF(Q439 &lt;=14,"Bajo",IF(Q439&lt;=35,"Medio",IF(Q439&lt;=80,"Alto","Inviable Sanitariamente"))))</f>
        <v>Sin Riesgo</v>
      </c>
      <c r="T439" s="16"/>
    </row>
    <row r="440" spans="1:20" ht="32.1" customHeight="1">
      <c r="A440" s="597" t="s">
        <v>174</v>
      </c>
      <c r="B440" s="597" t="s">
        <v>4010</v>
      </c>
      <c r="C440" s="600" t="s">
        <v>4011</v>
      </c>
      <c r="D440" s="399">
        <v>80</v>
      </c>
      <c r="E440" s="445"/>
      <c r="F440" s="445"/>
      <c r="G440" s="445">
        <v>26.55</v>
      </c>
      <c r="H440" s="445"/>
      <c r="I440" s="445"/>
      <c r="J440" s="445"/>
      <c r="K440" s="445"/>
      <c r="L440" s="445"/>
      <c r="M440" s="445">
        <v>60.24</v>
      </c>
      <c r="N440" s="445"/>
      <c r="O440" s="445"/>
      <c r="P440" s="445"/>
      <c r="Q440" s="620">
        <f>AVERAGE(E440:P440)</f>
        <v>43.395000000000003</v>
      </c>
      <c r="R440" s="331" t="str">
        <f>IF(Q440&lt;5,"SI","NO")</f>
        <v>NO</v>
      </c>
      <c r="S440" s="347" t="str">
        <f>IF(Q440&lt;5,"Sin Riesgo",IF(Q440 &lt;=14,"Bajo",IF(Q440&lt;=35,"Medio",IF(Q440&lt;=80,"Alto","Inviable Sanitariamente"))))</f>
        <v>Alto</v>
      </c>
      <c r="T440" s="16"/>
    </row>
    <row r="441" spans="1:20" ht="32.1" customHeight="1">
      <c r="A441" s="597" t="s">
        <v>174</v>
      </c>
      <c r="B441" s="597" t="s">
        <v>4012</v>
      </c>
      <c r="C441" s="600" t="s">
        <v>4013</v>
      </c>
      <c r="D441" s="345">
        <v>127</v>
      </c>
      <c r="E441" s="368"/>
      <c r="F441" s="368">
        <v>0</v>
      </c>
      <c r="G441" s="368"/>
      <c r="H441" s="368"/>
      <c r="I441" s="368"/>
      <c r="J441" s="368"/>
      <c r="K441" s="368">
        <v>0</v>
      </c>
      <c r="L441" s="368"/>
      <c r="M441" s="368"/>
      <c r="N441" s="368"/>
      <c r="O441" s="368">
        <v>0</v>
      </c>
      <c r="P441" s="368"/>
      <c r="Q441" s="620">
        <f>AVERAGE(E441:P441)</f>
        <v>0</v>
      </c>
      <c r="R441" s="331" t="str">
        <f>IF(Q441&lt;5,"SI","NO")</f>
        <v>SI</v>
      </c>
      <c r="S441" s="347" t="str">
        <f>IF(Q441&lt;5,"Sin Riesgo",IF(Q441 &lt;=14,"Bajo",IF(Q441&lt;=35,"Medio",IF(Q441&lt;=80,"Alto","Inviable Sanitariamente"))))</f>
        <v>Sin Riesgo</v>
      </c>
      <c r="T441" s="16"/>
    </row>
    <row r="442" spans="1:20" ht="32.1" customHeight="1">
      <c r="A442" s="597" t="s">
        <v>174</v>
      </c>
      <c r="B442" s="597" t="s">
        <v>1944</v>
      </c>
      <c r="C442" s="600" t="s">
        <v>4014</v>
      </c>
      <c r="D442" s="346">
        <v>30</v>
      </c>
      <c r="E442" s="445"/>
      <c r="F442" s="445"/>
      <c r="G442" s="445"/>
      <c r="H442" s="445"/>
      <c r="I442" s="445"/>
      <c r="J442" s="445"/>
      <c r="K442" s="445"/>
      <c r="L442" s="445"/>
      <c r="M442" s="445">
        <v>36.14</v>
      </c>
      <c r="N442" s="445"/>
      <c r="O442" s="445"/>
      <c r="P442" s="445"/>
      <c r="Q442" s="620">
        <f>AVERAGE(E442:P442)</f>
        <v>36.14</v>
      </c>
      <c r="R442" s="331" t="str">
        <f>IF(Q442&lt;5,"SI","NO")</f>
        <v>NO</v>
      </c>
      <c r="S442" s="347" t="str">
        <f>IF(Q442&lt;5,"Sin Riesgo",IF(Q442 &lt;=14,"Bajo",IF(Q442&lt;=35,"Medio",IF(Q442&lt;=80,"Alto","Inviable Sanitariamente"))))</f>
        <v>Alto</v>
      </c>
      <c r="T442" s="16"/>
    </row>
    <row r="443" spans="1:20" ht="32.1" customHeight="1">
      <c r="A443" s="597" t="s">
        <v>174</v>
      </c>
      <c r="B443" s="597" t="s">
        <v>2375</v>
      </c>
      <c r="C443" s="600" t="s">
        <v>4015</v>
      </c>
      <c r="D443" s="346">
        <v>30</v>
      </c>
      <c r="E443" s="445"/>
      <c r="F443" s="445">
        <v>26.55</v>
      </c>
      <c r="G443" s="445"/>
      <c r="H443" s="445"/>
      <c r="I443" s="445"/>
      <c r="J443" s="445"/>
      <c r="K443" s="445"/>
      <c r="L443" s="445"/>
      <c r="M443" s="445">
        <v>0</v>
      </c>
      <c r="N443" s="445"/>
      <c r="O443" s="445"/>
      <c r="P443" s="445"/>
      <c r="Q443" s="620">
        <f>AVERAGE(E443:P443)</f>
        <v>13.275</v>
      </c>
      <c r="R443" s="331" t="str">
        <f>IF(Q443&lt;5,"SI","NO")</f>
        <v>NO</v>
      </c>
      <c r="S443" s="347" t="str">
        <f>IF(Q443&lt;5,"Sin Riesgo",IF(Q443 &lt;=14,"Bajo",IF(Q443&lt;=35,"Medio",IF(Q443&lt;=80,"Alto","Inviable Sanitariamente"))))</f>
        <v>Bajo</v>
      </c>
      <c r="T443" s="16"/>
    </row>
    <row r="444" spans="1:20" ht="32.1" customHeight="1">
      <c r="A444" s="597" t="s">
        <v>174</v>
      </c>
      <c r="B444" s="597" t="s">
        <v>4016</v>
      </c>
      <c r="C444" s="600" t="s">
        <v>4017</v>
      </c>
      <c r="D444" s="345">
        <v>10</v>
      </c>
      <c r="E444" s="368"/>
      <c r="F444" s="368"/>
      <c r="G444" s="368"/>
      <c r="H444" s="368"/>
      <c r="I444" s="368">
        <v>0</v>
      </c>
      <c r="J444" s="368"/>
      <c r="K444" s="368"/>
      <c r="L444" s="368"/>
      <c r="M444" s="368"/>
      <c r="N444" s="368"/>
      <c r="O444" s="368"/>
      <c r="P444" s="368"/>
      <c r="Q444" s="620">
        <f t="shared" si="30"/>
        <v>0</v>
      </c>
      <c r="R444" s="331" t="str">
        <f t="shared" si="29"/>
        <v>SI</v>
      </c>
      <c r="S444" s="347" t="str">
        <f t="shared" si="28"/>
        <v>Sin Riesgo</v>
      </c>
      <c r="T444" s="16"/>
    </row>
    <row r="445" spans="1:20" ht="32.1" customHeight="1">
      <c r="A445" s="452" t="s">
        <v>175</v>
      </c>
      <c r="B445" s="344" t="s">
        <v>2387</v>
      </c>
      <c r="C445" s="349" t="s">
        <v>2388</v>
      </c>
      <c r="D445" s="346">
        <v>20</v>
      </c>
      <c r="E445" s="445"/>
      <c r="F445" s="445">
        <v>70.099999999999994</v>
      </c>
      <c r="G445" s="445"/>
      <c r="H445" s="445">
        <v>26.3</v>
      </c>
      <c r="I445" s="445"/>
      <c r="J445" s="445">
        <v>0</v>
      </c>
      <c r="K445" s="445"/>
      <c r="L445" s="445">
        <v>0</v>
      </c>
      <c r="M445" s="445"/>
      <c r="N445" s="445"/>
      <c r="O445" s="445">
        <v>26.3</v>
      </c>
      <c r="P445" s="445">
        <v>97.3</v>
      </c>
      <c r="Q445" s="620">
        <v>97.3</v>
      </c>
      <c r="R445" s="331" t="str">
        <f t="shared" si="29"/>
        <v>NO</v>
      </c>
      <c r="S445" s="347" t="str">
        <f t="shared" si="28"/>
        <v>Inviable Sanitariamente</v>
      </c>
    </row>
    <row r="446" spans="1:20" ht="32.1" customHeight="1">
      <c r="A446" s="452" t="s">
        <v>175</v>
      </c>
      <c r="B446" s="344" t="s">
        <v>2389</v>
      </c>
      <c r="C446" s="349" t="s">
        <v>2390</v>
      </c>
      <c r="D446" s="346">
        <v>104</v>
      </c>
      <c r="E446" s="445"/>
      <c r="F446" s="445">
        <v>26.3</v>
      </c>
      <c r="G446" s="445"/>
      <c r="H446" s="445">
        <v>97.3</v>
      </c>
      <c r="I446" s="445"/>
      <c r="J446" s="445">
        <v>0</v>
      </c>
      <c r="K446" s="445"/>
      <c r="L446" s="445">
        <v>0</v>
      </c>
      <c r="M446" s="445"/>
      <c r="N446" s="445"/>
      <c r="O446" s="445"/>
      <c r="P446" s="445">
        <v>100</v>
      </c>
      <c r="Q446" s="620">
        <f t="shared" si="30"/>
        <v>44.72</v>
      </c>
      <c r="R446" s="331" t="str">
        <f t="shared" si="29"/>
        <v>NO</v>
      </c>
      <c r="S446" s="347" t="str">
        <f t="shared" si="28"/>
        <v>Alto</v>
      </c>
    </row>
    <row r="447" spans="1:20" ht="32.1" customHeight="1">
      <c r="A447" s="452" t="s">
        <v>175</v>
      </c>
      <c r="B447" s="344" t="s">
        <v>2391</v>
      </c>
      <c r="C447" s="349" t="s">
        <v>2392</v>
      </c>
      <c r="D447" s="346">
        <v>187</v>
      </c>
      <c r="E447" s="445"/>
      <c r="F447" s="445"/>
      <c r="G447" s="445"/>
      <c r="H447" s="445">
        <v>97.3</v>
      </c>
      <c r="I447" s="445"/>
      <c r="J447" s="445"/>
      <c r="K447" s="445"/>
      <c r="L447" s="445"/>
      <c r="M447" s="445"/>
      <c r="N447" s="445"/>
      <c r="O447" s="445"/>
      <c r="P447" s="445">
        <v>97.3</v>
      </c>
      <c r="Q447" s="620">
        <f t="shared" si="30"/>
        <v>97.3</v>
      </c>
      <c r="R447" s="331" t="str">
        <f t="shared" si="29"/>
        <v>NO</v>
      </c>
      <c r="S447" s="347" t="str">
        <f t="shared" si="28"/>
        <v>Inviable Sanitariamente</v>
      </c>
    </row>
    <row r="448" spans="1:20" ht="32.1" customHeight="1">
      <c r="A448" s="452" t="s">
        <v>175</v>
      </c>
      <c r="B448" s="344" t="s">
        <v>2393</v>
      </c>
      <c r="C448" s="349" t="s">
        <v>2394</v>
      </c>
      <c r="D448" s="346">
        <v>148</v>
      </c>
      <c r="E448" s="445"/>
      <c r="F448" s="445"/>
      <c r="G448" s="445">
        <v>97.3</v>
      </c>
      <c r="H448" s="445"/>
      <c r="I448" s="445"/>
      <c r="J448" s="445"/>
      <c r="K448" s="445"/>
      <c r="L448" s="445"/>
      <c r="M448" s="445"/>
      <c r="N448" s="445"/>
      <c r="O448" s="445"/>
      <c r="P448" s="445">
        <v>97.3</v>
      </c>
      <c r="Q448" s="620">
        <f t="shared" si="30"/>
        <v>97.3</v>
      </c>
      <c r="R448" s="331" t="str">
        <f t="shared" si="29"/>
        <v>NO</v>
      </c>
      <c r="S448" s="347" t="str">
        <f t="shared" si="28"/>
        <v>Inviable Sanitariamente</v>
      </c>
    </row>
    <row r="449" spans="1:19" ht="32.1" customHeight="1">
      <c r="A449" s="452" t="s">
        <v>175</v>
      </c>
      <c r="B449" s="344" t="s">
        <v>2395</v>
      </c>
      <c r="C449" s="349" t="s">
        <v>2396</v>
      </c>
      <c r="D449" s="346">
        <v>36</v>
      </c>
      <c r="E449" s="445"/>
      <c r="F449" s="445">
        <v>97.3</v>
      </c>
      <c r="G449" s="445"/>
      <c r="H449" s="445"/>
      <c r="I449" s="445"/>
      <c r="J449" s="445"/>
      <c r="K449" s="445"/>
      <c r="L449" s="445"/>
      <c r="M449" s="445"/>
      <c r="N449" s="445"/>
      <c r="O449" s="445"/>
      <c r="P449" s="445">
        <v>97.3</v>
      </c>
      <c r="Q449" s="620">
        <f t="shared" si="30"/>
        <v>97.3</v>
      </c>
      <c r="R449" s="331" t="str">
        <f t="shared" si="29"/>
        <v>NO</v>
      </c>
      <c r="S449" s="347" t="str">
        <f t="shared" si="28"/>
        <v>Inviable Sanitariamente</v>
      </c>
    </row>
    <row r="450" spans="1:19" ht="32.1" customHeight="1">
      <c r="A450" s="452" t="s">
        <v>175</v>
      </c>
      <c r="B450" s="344" t="s">
        <v>1559</v>
      </c>
      <c r="C450" s="349" t="s">
        <v>2397</v>
      </c>
      <c r="D450" s="346">
        <v>32</v>
      </c>
      <c r="E450" s="445"/>
      <c r="F450" s="445"/>
      <c r="G450" s="445"/>
      <c r="H450" s="445"/>
      <c r="I450" s="445"/>
      <c r="J450" s="445">
        <v>97.3</v>
      </c>
      <c r="K450" s="445"/>
      <c r="L450" s="445"/>
      <c r="M450" s="445"/>
      <c r="N450" s="445"/>
      <c r="O450" s="445"/>
      <c r="P450" s="445">
        <v>97.3</v>
      </c>
      <c r="Q450" s="620">
        <f t="shared" si="30"/>
        <v>97.3</v>
      </c>
      <c r="R450" s="331" t="str">
        <f t="shared" si="29"/>
        <v>NO</v>
      </c>
      <c r="S450" s="347" t="str">
        <f t="shared" si="28"/>
        <v>Inviable Sanitariamente</v>
      </c>
    </row>
    <row r="451" spans="1:19" ht="32.1" customHeight="1">
      <c r="A451" s="452" t="s">
        <v>175</v>
      </c>
      <c r="B451" s="344" t="s">
        <v>63</v>
      </c>
      <c r="C451" s="349" t="s">
        <v>2398</v>
      </c>
      <c r="D451" s="399">
        <v>138</v>
      </c>
      <c r="E451" s="445"/>
      <c r="F451" s="445">
        <v>97.3</v>
      </c>
      <c r="G451" s="445"/>
      <c r="H451" s="445"/>
      <c r="I451" s="445"/>
      <c r="J451" s="445"/>
      <c r="K451" s="445"/>
      <c r="L451" s="445"/>
      <c r="M451" s="445"/>
      <c r="N451" s="445"/>
      <c r="O451" s="445"/>
      <c r="P451" s="445">
        <v>97.3</v>
      </c>
      <c r="Q451" s="620">
        <f t="shared" si="30"/>
        <v>97.3</v>
      </c>
      <c r="R451" s="331" t="str">
        <f t="shared" si="29"/>
        <v>NO</v>
      </c>
      <c r="S451" s="347" t="str">
        <f t="shared" si="28"/>
        <v>Inviable Sanitariamente</v>
      </c>
    </row>
    <row r="452" spans="1:19" ht="32.1" customHeight="1">
      <c r="A452" s="452" t="s">
        <v>175</v>
      </c>
      <c r="B452" s="344" t="s">
        <v>555</v>
      </c>
      <c r="C452" s="349" t="s">
        <v>2399</v>
      </c>
      <c r="D452" s="346">
        <v>56</v>
      </c>
      <c r="E452" s="445"/>
      <c r="F452" s="445">
        <v>0</v>
      </c>
      <c r="G452" s="445"/>
      <c r="H452" s="445">
        <v>0</v>
      </c>
      <c r="I452" s="445"/>
      <c r="J452" s="445">
        <v>0</v>
      </c>
      <c r="K452" s="445"/>
      <c r="L452" s="445">
        <v>0</v>
      </c>
      <c r="M452" s="445"/>
      <c r="N452" s="445"/>
      <c r="O452" s="445">
        <v>0</v>
      </c>
      <c r="P452" s="445">
        <v>0</v>
      </c>
      <c r="Q452" s="620">
        <f t="shared" si="30"/>
        <v>0</v>
      </c>
      <c r="R452" s="331" t="str">
        <f t="shared" si="29"/>
        <v>SI</v>
      </c>
      <c r="S452" s="347" t="str">
        <f t="shared" si="28"/>
        <v>Sin Riesgo</v>
      </c>
    </row>
    <row r="453" spans="1:19" ht="32.1" customHeight="1">
      <c r="A453" s="452" t="s">
        <v>175</v>
      </c>
      <c r="B453" s="344" t="s">
        <v>2400</v>
      </c>
      <c r="C453" s="349" t="s">
        <v>2401</v>
      </c>
      <c r="D453" s="346">
        <v>150</v>
      </c>
      <c r="E453" s="445"/>
      <c r="F453" s="445"/>
      <c r="G453" s="445"/>
      <c r="H453" s="445">
        <v>97.3</v>
      </c>
      <c r="I453" s="445"/>
      <c r="J453" s="445"/>
      <c r="K453" s="445"/>
      <c r="L453" s="445"/>
      <c r="M453" s="445"/>
      <c r="N453" s="445"/>
      <c r="O453" s="445">
        <v>97.3</v>
      </c>
      <c r="P453" s="445"/>
      <c r="Q453" s="620">
        <f t="shared" si="30"/>
        <v>97.3</v>
      </c>
      <c r="R453" s="331" t="str">
        <f t="shared" si="29"/>
        <v>NO</v>
      </c>
      <c r="S453" s="347" t="str">
        <f t="shared" si="28"/>
        <v>Inviable Sanitariamente</v>
      </c>
    </row>
    <row r="454" spans="1:19" ht="32.1" customHeight="1">
      <c r="A454" s="452" t="s">
        <v>175</v>
      </c>
      <c r="B454" s="340" t="s">
        <v>2402</v>
      </c>
      <c r="C454" s="350" t="s">
        <v>2403</v>
      </c>
      <c r="D454" s="399">
        <v>87</v>
      </c>
      <c r="E454" s="445"/>
      <c r="F454" s="445">
        <v>97.3</v>
      </c>
      <c r="G454" s="445"/>
      <c r="H454" s="445"/>
      <c r="I454" s="445"/>
      <c r="J454" s="445"/>
      <c r="K454" s="445"/>
      <c r="L454" s="445"/>
      <c r="M454" s="445"/>
      <c r="N454" s="445"/>
      <c r="O454" s="445">
        <v>97.3</v>
      </c>
      <c r="P454" s="445"/>
      <c r="Q454" s="620">
        <f t="shared" si="30"/>
        <v>97.3</v>
      </c>
      <c r="R454" s="331" t="str">
        <f t="shared" si="29"/>
        <v>NO</v>
      </c>
      <c r="S454" s="347" t="str">
        <f t="shared" si="28"/>
        <v>Inviable Sanitariamente</v>
      </c>
    </row>
    <row r="455" spans="1:19" ht="32.1" customHeight="1">
      <c r="A455" s="452" t="s">
        <v>175</v>
      </c>
      <c r="B455" s="344" t="s">
        <v>2404</v>
      </c>
      <c r="C455" s="350" t="s">
        <v>2405</v>
      </c>
      <c r="D455" s="346">
        <v>52</v>
      </c>
      <c r="E455" s="445"/>
      <c r="F455" s="445"/>
      <c r="G455" s="445">
        <v>97.3</v>
      </c>
      <c r="H455" s="445"/>
      <c r="I455" s="445"/>
      <c r="J455" s="445"/>
      <c r="K455" s="445"/>
      <c r="L455" s="445"/>
      <c r="M455" s="445"/>
      <c r="N455" s="445"/>
      <c r="O455" s="445"/>
      <c r="P455" s="445">
        <v>97.3</v>
      </c>
      <c r="Q455" s="620">
        <f t="shared" si="30"/>
        <v>97.3</v>
      </c>
      <c r="R455" s="331" t="str">
        <f t="shared" si="29"/>
        <v>NO</v>
      </c>
      <c r="S455" s="347" t="str">
        <f t="shared" si="28"/>
        <v>Inviable Sanitariamente</v>
      </c>
    </row>
    <row r="456" spans="1:19" ht="32.1" customHeight="1">
      <c r="A456" s="452" t="s">
        <v>175</v>
      </c>
      <c r="B456" s="344" t="s">
        <v>2406</v>
      </c>
      <c r="C456" s="349" t="s">
        <v>2407</v>
      </c>
      <c r="D456" s="346">
        <v>68</v>
      </c>
      <c r="E456" s="445"/>
      <c r="F456" s="445"/>
      <c r="G456" s="445"/>
      <c r="H456" s="445"/>
      <c r="I456" s="445">
        <v>97.3</v>
      </c>
      <c r="J456" s="445"/>
      <c r="K456" s="445"/>
      <c r="L456" s="445"/>
      <c r="M456" s="445"/>
      <c r="N456" s="445"/>
      <c r="O456" s="445"/>
      <c r="P456" s="445">
        <v>97.3</v>
      </c>
      <c r="Q456" s="620">
        <f t="shared" si="30"/>
        <v>97.3</v>
      </c>
      <c r="R456" s="331" t="str">
        <f t="shared" si="29"/>
        <v>NO</v>
      </c>
      <c r="S456" s="347" t="str">
        <f t="shared" si="28"/>
        <v>Inviable Sanitariamente</v>
      </c>
    </row>
    <row r="457" spans="1:19" ht="32.1" customHeight="1">
      <c r="A457" s="452" t="s">
        <v>175</v>
      </c>
      <c r="B457" s="344" t="s">
        <v>64</v>
      </c>
      <c r="C457" s="350" t="s">
        <v>2408</v>
      </c>
      <c r="D457" s="399">
        <v>94</v>
      </c>
      <c r="E457" s="445"/>
      <c r="F457" s="445"/>
      <c r="G457" s="445">
        <v>97.3</v>
      </c>
      <c r="H457" s="445"/>
      <c r="I457" s="445"/>
      <c r="J457" s="445"/>
      <c r="K457" s="445"/>
      <c r="L457" s="445"/>
      <c r="M457" s="445"/>
      <c r="N457" s="445"/>
      <c r="O457" s="445">
        <v>97.3</v>
      </c>
      <c r="P457" s="445"/>
      <c r="Q457" s="620">
        <f t="shared" si="30"/>
        <v>97.3</v>
      </c>
      <c r="R457" s="331" t="str">
        <f t="shared" si="29"/>
        <v>NO</v>
      </c>
      <c r="S457" s="347" t="str">
        <f t="shared" si="28"/>
        <v>Inviable Sanitariamente</v>
      </c>
    </row>
    <row r="458" spans="1:19" ht="32.1" customHeight="1">
      <c r="A458" s="452" t="s">
        <v>175</v>
      </c>
      <c r="B458" s="344" t="s">
        <v>2409</v>
      </c>
      <c r="C458" s="349" t="s">
        <v>2410</v>
      </c>
      <c r="D458" s="346">
        <v>61</v>
      </c>
      <c r="E458" s="445"/>
      <c r="F458" s="445"/>
      <c r="G458" s="445"/>
      <c r="H458" s="445"/>
      <c r="I458" s="445">
        <v>97.3</v>
      </c>
      <c r="J458" s="445"/>
      <c r="K458" s="445"/>
      <c r="L458" s="445"/>
      <c r="M458" s="445"/>
      <c r="N458" s="445"/>
      <c r="O458" s="445">
        <v>97.3</v>
      </c>
      <c r="P458" s="445"/>
      <c r="Q458" s="620">
        <f t="shared" si="30"/>
        <v>97.3</v>
      </c>
      <c r="R458" s="331" t="str">
        <f t="shared" si="29"/>
        <v>NO</v>
      </c>
      <c r="S458" s="347" t="str">
        <f t="shared" si="28"/>
        <v>Inviable Sanitariamente</v>
      </c>
    </row>
    <row r="459" spans="1:19" ht="32.1" customHeight="1">
      <c r="A459" s="452" t="s">
        <v>175</v>
      </c>
      <c r="B459" s="344" t="s">
        <v>2411</v>
      </c>
      <c r="C459" s="349" t="s">
        <v>2412</v>
      </c>
      <c r="D459" s="346">
        <v>37</v>
      </c>
      <c r="E459" s="445"/>
      <c r="F459" s="445"/>
      <c r="G459" s="445"/>
      <c r="H459" s="445">
        <v>97.3</v>
      </c>
      <c r="I459" s="445"/>
      <c r="J459" s="445"/>
      <c r="K459" s="445"/>
      <c r="L459" s="445"/>
      <c r="M459" s="445"/>
      <c r="N459" s="445"/>
      <c r="O459" s="445"/>
      <c r="P459" s="445">
        <v>97.3</v>
      </c>
      <c r="Q459" s="620">
        <f t="shared" si="30"/>
        <v>97.3</v>
      </c>
      <c r="R459" s="331" t="str">
        <f t="shared" si="29"/>
        <v>NO</v>
      </c>
      <c r="S459" s="347" t="str">
        <f t="shared" si="28"/>
        <v>Inviable Sanitariamente</v>
      </c>
    </row>
    <row r="460" spans="1:19" ht="32.1" customHeight="1">
      <c r="A460" s="452" t="s">
        <v>175</v>
      </c>
      <c r="B460" s="344" t="s">
        <v>2413</v>
      </c>
      <c r="C460" s="349" t="s">
        <v>2414</v>
      </c>
      <c r="D460" s="346">
        <v>70</v>
      </c>
      <c r="E460" s="445"/>
      <c r="F460" s="445">
        <v>97.3</v>
      </c>
      <c r="G460" s="445"/>
      <c r="H460" s="445"/>
      <c r="I460" s="445"/>
      <c r="J460" s="445"/>
      <c r="K460" s="445"/>
      <c r="L460" s="445"/>
      <c r="M460" s="445"/>
      <c r="N460" s="445"/>
      <c r="O460" s="445"/>
      <c r="P460" s="445">
        <v>97.3</v>
      </c>
      <c r="Q460" s="620">
        <f t="shared" si="30"/>
        <v>97.3</v>
      </c>
      <c r="R460" s="331" t="str">
        <f t="shared" si="29"/>
        <v>NO</v>
      </c>
      <c r="S460" s="347" t="str">
        <f t="shared" si="28"/>
        <v>Inviable Sanitariamente</v>
      </c>
    </row>
    <row r="461" spans="1:19" ht="32.1" customHeight="1">
      <c r="A461" s="452" t="s">
        <v>175</v>
      </c>
      <c r="B461" s="344" t="s">
        <v>2415</v>
      </c>
      <c r="C461" s="349" t="s">
        <v>2416</v>
      </c>
      <c r="D461" s="346">
        <v>63</v>
      </c>
      <c r="E461" s="445"/>
      <c r="F461" s="445"/>
      <c r="G461" s="660">
        <v>97.3</v>
      </c>
      <c r="H461" s="445"/>
      <c r="I461" s="445"/>
      <c r="J461" s="445"/>
      <c r="K461" s="445"/>
      <c r="L461" s="445"/>
      <c r="M461" s="445"/>
      <c r="N461" s="445"/>
      <c r="O461" s="445">
        <v>97.3</v>
      </c>
      <c r="P461" s="445"/>
      <c r="Q461" s="620">
        <f t="shared" si="30"/>
        <v>97.3</v>
      </c>
      <c r="R461" s="331" t="str">
        <f t="shared" si="29"/>
        <v>NO</v>
      </c>
      <c r="S461" s="347" t="str">
        <f t="shared" si="28"/>
        <v>Inviable Sanitariamente</v>
      </c>
    </row>
    <row r="462" spans="1:19" ht="32.1" customHeight="1">
      <c r="A462" s="452" t="s">
        <v>175</v>
      </c>
      <c r="B462" s="344" t="s">
        <v>59</v>
      </c>
      <c r="C462" s="349" t="s">
        <v>2417</v>
      </c>
      <c r="D462" s="346">
        <v>43</v>
      </c>
      <c r="E462" s="445"/>
      <c r="F462" s="445"/>
      <c r="G462" s="445"/>
      <c r="H462" s="445"/>
      <c r="I462" s="445">
        <v>97.3</v>
      </c>
      <c r="J462" s="445"/>
      <c r="K462" s="445"/>
      <c r="L462" s="445"/>
      <c r="M462" s="445"/>
      <c r="N462" s="445"/>
      <c r="O462" s="445"/>
      <c r="P462" s="445">
        <v>97.3</v>
      </c>
      <c r="Q462" s="620">
        <f t="shared" si="30"/>
        <v>97.3</v>
      </c>
      <c r="R462" s="331" t="str">
        <f t="shared" si="29"/>
        <v>NO</v>
      </c>
      <c r="S462" s="347" t="str">
        <f t="shared" si="28"/>
        <v>Inviable Sanitariamente</v>
      </c>
    </row>
    <row r="463" spans="1:19" ht="32.1" customHeight="1">
      <c r="A463" s="452" t="s">
        <v>175</v>
      </c>
      <c r="B463" s="344" t="s">
        <v>2418</v>
      </c>
      <c r="C463" s="349" t="s">
        <v>2419</v>
      </c>
      <c r="D463" s="346">
        <v>16</v>
      </c>
      <c r="E463" s="445"/>
      <c r="F463" s="445"/>
      <c r="G463" s="445"/>
      <c r="H463" s="445"/>
      <c r="I463" s="445"/>
      <c r="J463" s="445"/>
      <c r="K463" s="445"/>
      <c r="L463" s="445"/>
      <c r="M463" s="445"/>
      <c r="N463" s="445"/>
      <c r="O463" s="445"/>
      <c r="P463" s="445">
        <v>97.3</v>
      </c>
      <c r="Q463" s="620">
        <f t="shared" si="30"/>
        <v>97.3</v>
      </c>
      <c r="R463" s="331" t="str">
        <f t="shared" si="29"/>
        <v>NO</v>
      </c>
      <c r="S463" s="347" t="str">
        <f t="shared" si="28"/>
        <v>Inviable Sanitariamente</v>
      </c>
    </row>
    <row r="464" spans="1:19" ht="32.1" customHeight="1">
      <c r="A464" s="452" t="s">
        <v>175</v>
      </c>
      <c r="B464" s="344" t="s">
        <v>2420</v>
      </c>
      <c r="C464" s="349" t="s">
        <v>2421</v>
      </c>
      <c r="D464" s="346">
        <v>20</v>
      </c>
      <c r="E464" s="445"/>
      <c r="F464" s="445"/>
      <c r="G464" s="445"/>
      <c r="H464" s="445"/>
      <c r="I464" s="445"/>
      <c r="J464" s="445">
        <v>97.3</v>
      </c>
      <c r="K464" s="445"/>
      <c r="L464" s="445"/>
      <c r="M464" s="445"/>
      <c r="N464" s="445"/>
      <c r="O464" s="445"/>
      <c r="P464" s="445">
        <v>97.3</v>
      </c>
      <c r="Q464" s="620">
        <f t="shared" si="30"/>
        <v>97.3</v>
      </c>
      <c r="R464" s="331" t="str">
        <f t="shared" si="29"/>
        <v>NO</v>
      </c>
      <c r="S464" s="347" t="str">
        <f t="shared" si="28"/>
        <v>Inviable Sanitariamente</v>
      </c>
    </row>
    <row r="465" spans="1:19" ht="32.1" customHeight="1">
      <c r="A465" s="452" t="s">
        <v>175</v>
      </c>
      <c r="B465" s="344" t="s">
        <v>2422</v>
      </c>
      <c r="C465" s="349" t="s">
        <v>2423</v>
      </c>
      <c r="D465" s="346">
        <v>36</v>
      </c>
      <c r="E465" s="445"/>
      <c r="F465" s="445"/>
      <c r="G465" s="445"/>
      <c r="H465" s="445"/>
      <c r="I465" s="445">
        <v>97.3</v>
      </c>
      <c r="J465" s="445"/>
      <c r="K465" s="445"/>
      <c r="L465" s="445"/>
      <c r="M465" s="445"/>
      <c r="N465" s="445"/>
      <c r="O465" s="445"/>
      <c r="P465" s="445">
        <v>97.3</v>
      </c>
      <c r="Q465" s="620">
        <f t="shared" si="30"/>
        <v>97.3</v>
      </c>
      <c r="R465" s="331" t="str">
        <f t="shared" si="29"/>
        <v>NO</v>
      </c>
      <c r="S465" s="347" t="str">
        <f t="shared" si="28"/>
        <v>Inviable Sanitariamente</v>
      </c>
    </row>
    <row r="466" spans="1:19" ht="32.1" customHeight="1">
      <c r="A466" s="452" t="s">
        <v>175</v>
      </c>
      <c r="B466" s="344" t="s">
        <v>2424</v>
      </c>
      <c r="C466" s="349" t="s">
        <v>2425</v>
      </c>
      <c r="D466" s="346">
        <v>99</v>
      </c>
      <c r="E466" s="445"/>
      <c r="F466" s="445"/>
      <c r="G466" s="445">
        <v>97.3</v>
      </c>
      <c r="H466" s="445"/>
      <c r="I466" s="445"/>
      <c r="J466" s="445"/>
      <c r="K466" s="445"/>
      <c r="L466" s="445"/>
      <c r="M466" s="445"/>
      <c r="N466" s="445"/>
      <c r="O466" s="445">
        <v>97.3</v>
      </c>
      <c r="P466" s="445"/>
      <c r="Q466" s="620">
        <f t="shared" si="30"/>
        <v>97.3</v>
      </c>
      <c r="R466" s="331" t="str">
        <f t="shared" si="29"/>
        <v>NO</v>
      </c>
      <c r="S466" s="347" t="str">
        <f t="shared" si="28"/>
        <v>Inviable Sanitariamente</v>
      </c>
    </row>
    <row r="467" spans="1:19" ht="32.1" customHeight="1">
      <c r="A467" s="452" t="s">
        <v>175</v>
      </c>
      <c r="B467" s="344" t="s">
        <v>2406</v>
      </c>
      <c r="C467" s="349" t="s">
        <v>2426</v>
      </c>
      <c r="D467" s="346">
        <v>27</v>
      </c>
      <c r="E467" s="445"/>
      <c r="F467" s="445"/>
      <c r="G467" s="445"/>
      <c r="H467" s="445"/>
      <c r="I467" s="445"/>
      <c r="J467" s="445">
        <v>97.3</v>
      </c>
      <c r="K467" s="445"/>
      <c r="L467" s="445"/>
      <c r="M467" s="445"/>
      <c r="N467" s="445"/>
      <c r="O467" s="445"/>
      <c r="P467" s="445">
        <v>97.3</v>
      </c>
      <c r="Q467" s="620">
        <f t="shared" si="30"/>
        <v>97.3</v>
      </c>
      <c r="R467" s="331" t="str">
        <f t="shared" si="29"/>
        <v>NO</v>
      </c>
      <c r="S467" s="347" t="str">
        <f t="shared" ref="S467:S520" si="31">IF(Q467&lt;5,"Sin Riesgo",IF(Q467 &lt;=14,"Bajo",IF(Q467&lt;=35,"Medio",IF(Q467&lt;=80,"Alto","Inviable Sanitariamente"))))</f>
        <v>Inviable Sanitariamente</v>
      </c>
    </row>
    <row r="468" spans="1:19" ht="32.1" customHeight="1">
      <c r="A468" s="452" t="s">
        <v>176</v>
      </c>
      <c r="B468" s="344" t="s">
        <v>2427</v>
      </c>
      <c r="C468" s="349" t="s">
        <v>2428</v>
      </c>
      <c r="D468" s="345">
        <v>175</v>
      </c>
      <c r="E468" s="445"/>
      <c r="F468" s="445"/>
      <c r="G468" s="445"/>
      <c r="H468" s="445"/>
      <c r="I468" s="445"/>
      <c r="J468" s="445"/>
      <c r="K468" s="445"/>
      <c r="L468" s="445"/>
      <c r="M468" s="445"/>
      <c r="N468" s="445">
        <v>95.2</v>
      </c>
      <c r="O468" s="445"/>
      <c r="P468" s="445"/>
      <c r="Q468" s="620">
        <f t="shared" si="30"/>
        <v>95.2</v>
      </c>
      <c r="R468" s="331" t="str">
        <f t="shared" si="29"/>
        <v>NO</v>
      </c>
      <c r="S468" s="347" t="str">
        <f t="shared" si="31"/>
        <v>Inviable Sanitariamente</v>
      </c>
    </row>
    <row r="469" spans="1:19" ht="32.1" customHeight="1">
      <c r="A469" s="452" t="s">
        <v>176</v>
      </c>
      <c r="B469" s="344" t="s">
        <v>2429</v>
      </c>
      <c r="C469" s="349" t="s">
        <v>2430</v>
      </c>
      <c r="D469" s="345">
        <v>52</v>
      </c>
      <c r="E469" s="445"/>
      <c r="F469" s="445"/>
      <c r="G469" s="445"/>
      <c r="H469" s="445"/>
      <c r="I469" s="445"/>
      <c r="J469" s="445"/>
      <c r="K469" s="445">
        <v>95.2</v>
      </c>
      <c r="L469" s="445"/>
      <c r="M469" s="445"/>
      <c r="N469" s="445"/>
      <c r="O469" s="445">
        <v>95.2</v>
      </c>
      <c r="P469" s="445"/>
      <c r="Q469" s="620">
        <f t="shared" si="30"/>
        <v>95.2</v>
      </c>
      <c r="R469" s="331" t="str">
        <f t="shared" si="29"/>
        <v>NO</v>
      </c>
      <c r="S469" s="347" t="str">
        <f t="shared" si="31"/>
        <v>Inviable Sanitariamente</v>
      </c>
    </row>
    <row r="470" spans="1:19" ht="32.1" customHeight="1">
      <c r="A470" s="452" t="s">
        <v>176</v>
      </c>
      <c r="B470" s="344" t="s">
        <v>2431</v>
      </c>
      <c r="C470" s="349" t="s">
        <v>2432</v>
      </c>
      <c r="D470" s="345">
        <v>60</v>
      </c>
      <c r="E470" s="445"/>
      <c r="F470" s="445"/>
      <c r="G470" s="445">
        <v>95.2</v>
      </c>
      <c r="H470" s="445"/>
      <c r="I470" s="445"/>
      <c r="J470" s="445"/>
      <c r="K470" s="445"/>
      <c r="L470" s="445"/>
      <c r="M470" s="445"/>
      <c r="N470" s="445"/>
      <c r="O470" s="445"/>
      <c r="P470" s="445"/>
      <c r="Q470" s="620">
        <f t="shared" si="30"/>
        <v>95.2</v>
      </c>
      <c r="R470" s="331" t="str">
        <f t="shared" si="29"/>
        <v>NO</v>
      </c>
      <c r="S470" s="347" t="str">
        <f t="shared" si="31"/>
        <v>Inviable Sanitariamente</v>
      </c>
    </row>
    <row r="471" spans="1:19" ht="32.1" customHeight="1">
      <c r="A471" s="597" t="s">
        <v>176</v>
      </c>
      <c r="B471" s="597" t="s">
        <v>19</v>
      </c>
      <c r="C471" s="600" t="s">
        <v>2433</v>
      </c>
      <c r="D471" s="345">
        <v>32</v>
      </c>
      <c r="E471" s="368"/>
      <c r="F471" s="368"/>
      <c r="G471" s="368">
        <v>90</v>
      </c>
      <c r="H471" s="368"/>
      <c r="I471" s="368"/>
      <c r="J471" s="368"/>
      <c r="K471" s="368"/>
      <c r="L471" s="368"/>
      <c r="M471" s="368"/>
      <c r="N471" s="368"/>
      <c r="O471" s="368"/>
      <c r="P471" s="368"/>
      <c r="Q471" s="620">
        <f t="shared" si="30"/>
        <v>90</v>
      </c>
      <c r="R471" s="331" t="str">
        <f t="shared" si="29"/>
        <v>NO</v>
      </c>
      <c r="S471" s="347" t="str">
        <f t="shared" si="31"/>
        <v>Inviable Sanitariamente</v>
      </c>
    </row>
    <row r="472" spans="1:19" ht="32.1" customHeight="1">
      <c r="A472" s="597" t="s">
        <v>176</v>
      </c>
      <c r="B472" s="597" t="s">
        <v>2434</v>
      </c>
      <c r="C472" s="600" t="s">
        <v>2435</v>
      </c>
      <c r="D472" s="346">
        <v>32</v>
      </c>
      <c r="E472" s="445"/>
      <c r="F472" s="445"/>
      <c r="G472" s="445"/>
      <c r="H472" s="445"/>
      <c r="I472" s="445"/>
      <c r="J472" s="445"/>
      <c r="K472" s="445"/>
      <c r="L472" s="445"/>
      <c r="M472" s="445"/>
      <c r="N472" s="445"/>
      <c r="O472" s="445">
        <v>95.2</v>
      </c>
      <c r="P472" s="445"/>
      <c r="Q472" s="620">
        <f t="shared" si="30"/>
        <v>95.2</v>
      </c>
      <c r="R472" s="331" t="str">
        <f t="shared" si="29"/>
        <v>NO</v>
      </c>
      <c r="S472" s="347" t="str">
        <f t="shared" si="31"/>
        <v>Inviable Sanitariamente</v>
      </c>
    </row>
    <row r="473" spans="1:19" ht="32.1" customHeight="1">
      <c r="A473" s="597" t="s">
        <v>176</v>
      </c>
      <c r="B473" s="597" t="s">
        <v>2436</v>
      </c>
      <c r="C473" s="600" t="s">
        <v>2437</v>
      </c>
      <c r="D473" s="345">
        <v>127</v>
      </c>
      <c r="E473" s="368"/>
      <c r="F473" s="368"/>
      <c r="G473" s="368"/>
      <c r="H473" s="368"/>
      <c r="I473" s="368"/>
      <c r="J473" s="368"/>
      <c r="K473" s="368"/>
      <c r="L473" s="368"/>
      <c r="M473" s="368"/>
      <c r="N473" s="368"/>
      <c r="O473" s="368"/>
      <c r="P473" s="368"/>
      <c r="Q473" s="620"/>
      <c r="R473" s="331"/>
      <c r="S473" s="347"/>
    </row>
    <row r="474" spans="1:19" ht="32.1" customHeight="1">
      <c r="A474" s="597" t="s">
        <v>176</v>
      </c>
      <c r="B474" s="597" t="s">
        <v>93</v>
      </c>
      <c r="C474" s="600" t="s">
        <v>2438</v>
      </c>
      <c r="D474" s="304">
        <v>24</v>
      </c>
      <c r="E474" s="445"/>
      <c r="F474" s="445"/>
      <c r="G474" s="445"/>
      <c r="H474" s="445"/>
      <c r="I474" s="445"/>
      <c r="J474" s="445"/>
      <c r="K474" s="445"/>
      <c r="L474" s="445">
        <v>95.2</v>
      </c>
      <c r="M474" s="445"/>
      <c r="N474" s="445"/>
      <c r="O474" s="445"/>
      <c r="P474" s="445"/>
      <c r="Q474" s="620">
        <f t="shared" si="30"/>
        <v>95.2</v>
      </c>
      <c r="R474" s="331" t="str">
        <f t="shared" si="29"/>
        <v>NO</v>
      </c>
      <c r="S474" s="347" t="str">
        <f t="shared" si="31"/>
        <v>Inviable Sanitariamente</v>
      </c>
    </row>
    <row r="475" spans="1:19" ht="32.1" customHeight="1">
      <c r="A475" s="597" t="s">
        <v>176</v>
      </c>
      <c r="B475" s="597" t="s">
        <v>2439</v>
      </c>
      <c r="C475" s="600" t="s">
        <v>2440</v>
      </c>
      <c r="D475" s="346">
        <v>70</v>
      </c>
      <c r="E475" s="445"/>
      <c r="F475" s="445"/>
      <c r="G475" s="445">
        <v>95.2</v>
      </c>
      <c r="H475" s="445"/>
      <c r="I475" s="445"/>
      <c r="J475" s="445"/>
      <c r="K475" s="445"/>
      <c r="L475" s="445">
        <v>95.2</v>
      </c>
      <c r="M475" s="445"/>
      <c r="N475" s="445"/>
      <c r="O475" s="445">
        <v>95.2</v>
      </c>
      <c r="P475" s="445"/>
      <c r="Q475" s="620">
        <f t="shared" si="30"/>
        <v>95.2</v>
      </c>
      <c r="R475" s="331" t="str">
        <f t="shared" si="29"/>
        <v>NO</v>
      </c>
      <c r="S475" s="347" t="str">
        <f t="shared" si="31"/>
        <v>Inviable Sanitariamente</v>
      </c>
    </row>
    <row r="476" spans="1:19" ht="32.1" customHeight="1">
      <c r="A476" s="597" t="s">
        <v>176</v>
      </c>
      <c r="B476" s="597" t="s">
        <v>2441</v>
      </c>
      <c r="C476" s="600" t="s">
        <v>2442</v>
      </c>
      <c r="D476" s="345">
        <v>120</v>
      </c>
      <c r="E476" s="368"/>
      <c r="F476" s="368"/>
      <c r="G476" s="368"/>
      <c r="H476" s="368"/>
      <c r="I476" s="368">
        <v>95</v>
      </c>
      <c r="J476" s="368"/>
      <c r="K476" s="368"/>
      <c r="L476" s="368"/>
      <c r="M476" s="368"/>
      <c r="N476" s="368"/>
      <c r="O476" s="368"/>
      <c r="P476" s="368"/>
      <c r="Q476" s="620">
        <f t="shared" si="30"/>
        <v>95</v>
      </c>
      <c r="R476" s="331" t="str">
        <f t="shared" si="29"/>
        <v>NO</v>
      </c>
      <c r="S476" s="347" t="str">
        <f t="shared" si="31"/>
        <v>Inviable Sanitariamente</v>
      </c>
    </row>
    <row r="477" spans="1:19" ht="32.1" customHeight="1">
      <c r="A477" s="597" t="s">
        <v>176</v>
      </c>
      <c r="B477" s="597" t="s">
        <v>2443</v>
      </c>
      <c r="C477" s="600" t="s">
        <v>2444</v>
      </c>
      <c r="D477" s="345">
        <v>42</v>
      </c>
      <c r="E477" s="368"/>
      <c r="F477" s="368"/>
      <c r="G477" s="368"/>
      <c r="H477" s="368"/>
      <c r="I477" s="368"/>
      <c r="J477" s="368"/>
      <c r="K477" s="368"/>
      <c r="L477" s="368"/>
      <c r="M477" s="368"/>
      <c r="N477" s="368"/>
      <c r="O477" s="368"/>
      <c r="P477" s="368"/>
      <c r="Q477" s="620"/>
      <c r="R477" s="331"/>
      <c r="S477" s="347"/>
    </row>
    <row r="478" spans="1:19" ht="32.1" customHeight="1">
      <c r="A478" s="597" t="s">
        <v>176</v>
      </c>
      <c r="B478" s="597" t="s">
        <v>2445</v>
      </c>
      <c r="C478" s="600" t="s">
        <v>2446</v>
      </c>
      <c r="D478" s="346">
        <v>87</v>
      </c>
      <c r="E478" s="445"/>
      <c r="F478" s="445"/>
      <c r="G478" s="445"/>
      <c r="H478" s="445">
        <v>95.2</v>
      </c>
      <c r="I478" s="445"/>
      <c r="J478" s="445"/>
      <c r="K478" s="445"/>
      <c r="L478" s="445"/>
      <c r="M478" s="445"/>
      <c r="N478" s="445"/>
      <c r="O478" s="445">
        <v>95.2</v>
      </c>
      <c r="P478" s="445"/>
      <c r="Q478" s="620">
        <f t="shared" si="30"/>
        <v>95.2</v>
      </c>
      <c r="R478" s="331" t="str">
        <f t="shared" si="29"/>
        <v>NO</v>
      </c>
      <c r="S478" s="347" t="str">
        <f t="shared" si="31"/>
        <v>Inviable Sanitariamente</v>
      </c>
    </row>
    <row r="479" spans="1:19" ht="32.1" customHeight="1">
      <c r="A479" s="597" t="s">
        <v>176</v>
      </c>
      <c r="B479" s="597" t="s">
        <v>2447</v>
      </c>
      <c r="C479" s="600" t="s">
        <v>2448</v>
      </c>
      <c r="D479" s="346">
        <v>70</v>
      </c>
      <c r="E479" s="445"/>
      <c r="F479" s="445"/>
      <c r="G479" s="445"/>
      <c r="H479" s="445">
        <v>95.2</v>
      </c>
      <c r="I479" s="445"/>
      <c r="J479" s="445"/>
      <c r="K479" s="445"/>
      <c r="L479" s="445"/>
      <c r="M479" s="445"/>
      <c r="N479" s="445">
        <v>95.2</v>
      </c>
      <c r="O479" s="445"/>
      <c r="P479" s="445"/>
      <c r="Q479" s="620">
        <f t="shared" si="30"/>
        <v>95.2</v>
      </c>
      <c r="R479" s="331" t="str">
        <f t="shared" si="29"/>
        <v>NO</v>
      </c>
      <c r="S479" s="347" t="str">
        <f t="shared" si="31"/>
        <v>Inviable Sanitariamente</v>
      </c>
    </row>
    <row r="480" spans="1:19" ht="32.1" customHeight="1">
      <c r="A480" s="597" t="s">
        <v>176</v>
      </c>
      <c r="B480" s="597" t="s">
        <v>2449</v>
      </c>
      <c r="C480" s="600" t="s">
        <v>2450</v>
      </c>
      <c r="D480" s="345">
        <v>18</v>
      </c>
      <c r="E480" s="445"/>
      <c r="F480" s="445"/>
      <c r="G480" s="445"/>
      <c r="H480" s="445"/>
      <c r="I480" s="445"/>
      <c r="J480" s="445"/>
      <c r="K480" s="445"/>
      <c r="L480" s="445"/>
      <c r="M480" s="445"/>
      <c r="N480" s="445">
        <v>95.2</v>
      </c>
      <c r="O480" s="445"/>
      <c r="P480" s="445"/>
      <c r="Q480" s="620">
        <f t="shared" si="30"/>
        <v>95.2</v>
      </c>
      <c r="R480" s="331" t="str">
        <f t="shared" si="29"/>
        <v>NO</v>
      </c>
      <c r="S480" s="347" t="str">
        <f t="shared" si="31"/>
        <v>Inviable Sanitariamente</v>
      </c>
    </row>
    <row r="481" spans="1:19" ht="32.1" customHeight="1">
      <c r="A481" s="597" t="s">
        <v>176</v>
      </c>
      <c r="B481" s="597" t="s">
        <v>2451</v>
      </c>
      <c r="C481" s="600" t="s">
        <v>2452</v>
      </c>
      <c r="D481" s="346">
        <v>38</v>
      </c>
      <c r="E481" s="445"/>
      <c r="F481" s="445"/>
      <c r="G481" s="661"/>
      <c r="H481" s="445">
        <v>95.2</v>
      </c>
      <c r="I481" s="445"/>
      <c r="J481" s="445"/>
      <c r="K481" s="445">
        <v>95.2</v>
      </c>
      <c r="L481" s="445"/>
      <c r="M481" s="445"/>
      <c r="N481" s="445"/>
      <c r="O481" s="445"/>
      <c r="P481" s="445"/>
      <c r="Q481" s="620">
        <f t="shared" si="30"/>
        <v>95.2</v>
      </c>
      <c r="R481" s="331" t="str">
        <f t="shared" si="29"/>
        <v>NO</v>
      </c>
      <c r="S481" s="347" t="str">
        <f t="shared" si="31"/>
        <v>Inviable Sanitariamente</v>
      </c>
    </row>
    <row r="482" spans="1:19" ht="32.1" customHeight="1">
      <c r="A482" s="597" t="s">
        <v>176</v>
      </c>
      <c r="B482" s="597" t="s">
        <v>2453</v>
      </c>
      <c r="C482" s="600" t="s">
        <v>2454</v>
      </c>
      <c r="D482" s="304">
        <v>40</v>
      </c>
      <c r="E482" s="368"/>
      <c r="F482" s="368"/>
      <c r="G482" s="368"/>
      <c r="H482" s="368"/>
      <c r="I482" s="368"/>
      <c r="J482" s="368"/>
      <c r="K482" s="368"/>
      <c r="L482" s="368"/>
      <c r="M482" s="368"/>
      <c r="N482" s="368"/>
      <c r="O482" s="368"/>
      <c r="P482" s="368"/>
      <c r="Q482" s="620"/>
      <c r="R482" s="331"/>
      <c r="S482" s="347"/>
    </row>
    <row r="483" spans="1:19" ht="32.1" customHeight="1">
      <c r="A483" s="452" t="s">
        <v>176</v>
      </c>
      <c r="B483" s="344" t="s">
        <v>1372</v>
      </c>
      <c r="C483" s="349" t="s">
        <v>2455</v>
      </c>
      <c r="D483" s="346">
        <v>92</v>
      </c>
      <c r="E483" s="445"/>
      <c r="F483" s="445"/>
      <c r="G483" s="445"/>
      <c r="H483" s="445"/>
      <c r="I483" s="445">
        <v>95.2</v>
      </c>
      <c r="J483" s="445"/>
      <c r="K483" s="445"/>
      <c r="L483" s="445"/>
      <c r="M483" s="445"/>
      <c r="N483" s="445"/>
      <c r="O483" s="445"/>
      <c r="P483" s="445"/>
      <c r="Q483" s="620">
        <f t="shared" si="30"/>
        <v>95.2</v>
      </c>
      <c r="R483" s="331" t="str">
        <f t="shared" si="29"/>
        <v>NO</v>
      </c>
      <c r="S483" s="347" t="str">
        <f t="shared" si="31"/>
        <v>Inviable Sanitariamente</v>
      </c>
    </row>
    <row r="484" spans="1:19" ht="32.1" customHeight="1">
      <c r="A484" s="452" t="s">
        <v>176</v>
      </c>
      <c r="B484" s="344" t="s">
        <v>2456</v>
      </c>
      <c r="C484" s="349" t="s">
        <v>2457</v>
      </c>
      <c r="D484" s="304">
        <v>166</v>
      </c>
      <c r="E484" s="445"/>
      <c r="F484" s="445"/>
      <c r="G484" s="445">
        <v>0</v>
      </c>
      <c r="H484" s="445"/>
      <c r="I484" s="445"/>
      <c r="J484" s="445"/>
      <c r="K484" s="445"/>
      <c r="L484" s="445"/>
      <c r="M484" s="445"/>
      <c r="N484" s="445">
        <v>47.6</v>
      </c>
      <c r="O484" s="445"/>
      <c r="P484" s="445"/>
      <c r="Q484" s="620">
        <f t="shared" si="30"/>
        <v>23.8</v>
      </c>
      <c r="R484" s="331" t="str">
        <f t="shared" si="29"/>
        <v>NO</v>
      </c>
      <c r="S484" s="347" t="str">
        <f t="shared" si="31"/>
        <v>Medio</v>
      </c>
    </row>
    <row r="485" spans="1:19" ht="32.1" customHeight="1">
      <c r="A485" s="452" t="s">
        <v>176</v>
      </c>
      <c r="B485" s="344" t="s">
        <v>2458</v>
      </c>
      <c r="C485" s="349" t="s">
        <v>2459</v>
      </c>
      <c r="D485" s="346">
        <v>95</v>
      </c>
      <c r="E485" s="445"/>
      <c r="F485" s="445"/>
      <c r="G485" s="445"/>
      <c r="H485" s="445"/>
      <c r="I485" s="445"/>
      <c r="J485" s="445"/>
      <c r="K485" s="445"/>
      <c r="L485" s="445"/>
      <c r="M485" s="445"/>
      <c r="N485" s="445">
        <v>95.2</v>
      </c>
      <c r="O485" s="445"/>
      <c r="P485" s="445"/>
      <c r="Q485" s="620">
        <f t="shared" si="30"/>
        <v>95.2</v>
      </c>
      <c r="R485" s="331" t="str">
        <f t="shared" si="29"/>
        <v>NO</v>
      </c>
      <c r="S485" s="347" t="str">
        <f t="shared" si="31"/>
        <v>Inviable Sanitariamente</v>
      </c>
    </row>
    <row r="486" spans="1:19" ht="32.1" customHeight="1">
      <c r="A486" s="452" t="s">
        <v>176</v>
      </c>
      <c r="B486" s="344" t="s">
        <v>2460</v>
      </c>
      <c r="C486" s="349" t="s">
        <v>2461</v>
      </c>
      <c r="D486" s="346">
        <v>58</v>
      </c>
      <c r="E486" s="445"/>
      <c r="F486" s="445"/>
      <c r="G486" s="445"/>
      <c r="H486" s="445">
        <v>95.2</v>
      </c>
      <c r="I486" s="445"/>
      <c r="J486" s="445"/>
      <c r="K486" s="445"/>
      <c r="L486" s="445">
        <v>95.2</v>
      </c>
      <c r="M486" s="445"/>
      <c r="N486" s="445"/>
      <c r="O486" s="445"/>
      <c r="P486" s="445"/>
      <c r="Q486" s="620">
        <f t="shared" si="30"/>
        <v>95.2</v>
      </c>
      <c r="R486" s="331" t="str">
        <f t="shared" si="29"/>
        <v>NO</v>
      </c>
      <c r="S486" s="347" t="str">
        <f t="shared" si="31"/>
        <v>Inviable Sanitariamente</v>
      </c>
    </row>
    <row r="487" spans="1:19" ht="32.1" customHeight="1">
      <c r="A487" s="452" t="s">
        <v>176</v>
      </c>
      <c r="B487" s="344" t="s">
        <v>2462</v>
      </c>
      <c r="C487" s="349" t="s">
        <v>2463</v>
      </c>
      <c r="D487" s="304">
        <v>83</v>
      </c>
      <c r="E487" s="445"/>
      <c r="F487" s="445"/>
      <c r="G487" s="445">
        <v>47.6</v>
      </c>
      <c r="H487" s="445"/>
      <c r="I487" s="445"/>
      <c r="J487" s="445"/>
      <c r="K487" s="445"/>
      <c r="L487" s="445">
        <v>47.6</v>
      </c>
      <c r="M487" s="445"/>
      <c r="N487" s="445"/>
      <c r="O487" s="445"/>
      <c r="P487" s="445"/>
      <c r="Q487" s="620">
        <f t="shared" si="30"/>
        <v>47.6</v>
      </c>
      <c r="R487" s="331" t="str">
        <f t="shared" si="29"/>
        <v>NO</v>
      </c>
      <c r="S487" s="347" t="str">
        <f t="shared" si="31"/>
        <v>Alto</v>
      </c>
    </row>
    <row r="488" spans="1:19" ht="32.1" customHeight="1">
      <c r="A488" s="452" t="s">
        <v>176</v>
      </c>
      <c r="B488" s="344" t="s">
        <v>2464</v>
      </c>
      <c r="C488" s="349" t="s">
        <v>2465</v>
      </c>
      <c r="D488" s="346">
        <v>82</v>
      </c>
      <c r="E488" s="445"/>
      <c r="F488" s="445"/>
      <c r="G488" s="445"/>
      <c r="H488" s="445">
        <v>95.2</v>
      </c>
      <c r="I488" s="445"/>
      <c r="J488" s="445"/>
      <c r="K488" s="445"/>
      <c r="L488" s="445"/>
      <c r="M488" s="445"/>
      <c r="N488" s="445">
        <v>95.2</v>
      </c>
      <c r="O488" s="445"/>
      <c r="P488" s="445"/>
      <c r="Q488" s="620">
        <f t="shared" si="30"/>
        <v>95.2</v>
      </c>
      <c r="R488" s="331" t="str">
        <f t="shared" si="29"/>
        <v>NO</v>
      </c>
      <c r="S488" s="347" t="str">
        <f t="shared" si="31"/>
        <v>Inviable Sanitariamente</v>
      </c>
    </row>
    <row r="489" spans="1:19" ht="32.1" customHeight="1">
      <c r="A489" s="452" t="s">
        <v>176</v>
      </c>
      <c r="B489" s="344" t="s">
        <v>2466</v>
      </c>
      <c r="C489" s="349" t="s">
        <v>2467</v>
      </c>
      <c r="D489" s="346">
        <v>205</v>
      </c>
      <c r="E489" s="445"/>
      <c r="F489" s="445"/>
      <c r="G489" s="445">
        <v>0</v>
      </c>
      <c r="H489" s="445"/>
      <c r="I489" s="445"/>
      <c r="J489" s="445"/>
      <c r="K489" s="445"/>
      <c r="L489" s="445"/>
      <c r="M489" s="445"/>
      <c r="N489" s="445">
        <v>0</v>
      </c>
      <c r="O489" s="445"/>
      <c r="P489" s="445"/>
      <c r="Q489" s="620">
        <f t="shared" si="30"/>
        <v>0</v>
      </c>
      <c r="R489" s="331" t="str">
        <f t="shared" si="29"/>
        <v>SI</v>
      </c>
      <c r="S489" s="347" t="str">
        <f t="shared" si="31"/>
        <v>Sin Riesgo</v>
      </c>
    </row>
    <row r="490" spans="1:19" ht="32.1" customHeight="1">
      <c r="A490" s="452" t="s">
        <v>176</v>
      </c>
      <c r="B490" s="344" t="s">
        <v>2468</v>
      </c>
      <c r="C490" s="349" t="s">
        <v>2469</v>
      </c>
      <c r="D490" s="346">
        <v>131</v>
      </c>
      <c r="E490" s="445"/>
      <c r="F490" s="445"/>
      <c r="G490" s="445"/>
      <c r="H490" s="445"/>
      <c r="I490" s="445"/>
      <c r="J490" s="445"/>
      <c r="K490" s="445"/>
      <c r="L490" s="445">
        <v>95.2</v>
      </c>
      <c r="M490" s="445"/>
      <c r="N490" s="445">
        <v>95.2</v>
      </c>
      <c r="O490" s="445"/>
      <c r="P490" s="445"/>
      <c r="Q490" s="620">
        <f t="shared" si="30"/>
        <v>95.2</v>
      </c>
      <c r="R490" s="331" t="str">
        <f t="shared" si="29"/>
        <v>NO</v>
      </c>
      <c r="S490" s="347" t="str">
        <f t="shared" si="31"/>
        <v>Inviable Sanitariamente</v>
      </c>
    </row>
    <row r="491" spans="1:19" ht="32.1" customHeight="1">
      <c r="A491" s="404" t="s">
        <v>176</v>
      </c>
      <c r="B491" s="301" t="s">
        <v>2470</v>
      </c>
      <c r="C491" s="318" t="s">
        <v>2471</v>
      </c>
      <c r="D491" s="346">
        <v>59</v>
      </c>
      <c r="E491" s="445"/>
      <c r="F491" s="445"/>
      <c r="G491" s="445"/>
      <c r="H491" s="445"/>
      <c r="I491" s="445"/>
      <c r="J491" s="445"/>
      <c r="K491" s="445"/>
      <c r="L491" s="445"/>
      <c r="M491" s="445"/>
      <c r="N491" s="445">
        <v>95.2</v>
      </c>
      <c r="O491" s="445"/>
      <c r="P491" s="445"/>
      <c r="Q491" s="620">
        <f t="shared" si="30"/>
        <v>95.2</v>
      </c>
      <c r="R491" s="355" t="str">
        <f t="shared" si="29"/>
        <v>NO</v>
      </c>
      <c r="S491" s="347" t="str">
        <f t="shared" si="31"/>
        <v>Inviable Sanitariamente</v>
      </c>
    </row>
    <row r="492" spans="1:19" ht="32.1" customHeight="1">
      <c r="A492" s="404" t="s">
        <v>176</v>
      </c>
      <c r="B492" s="301" t="s">
        <v>6</v>
      </c>
      <c r="C492" s="318" t="s">
        <v>2472</v>
      </c>
      <c r="D492" s="346">
        <v>62</v>
      </c>
      <c r="E492" s="445"/>
      <c r="F492" s="445"/>
      <c r="G492" s="445"/>
      <c r="H492" s="445">
        <v>95.2</v>
      </c>
      <c r="I492" s="445"/>
      <c r="J492" s="445"/>
      <c r="K492" s="445"/>
      <c r="L492" s="445"/>
      <c r="M492" s="445"/>
      <c r="N492" s="445">
        <v>95.2</v>
      </c>
      <c r="O492" s="445"/>
      <c r="P492" s="445"/>
      <c r="Q492" s="620">
        <f t="shared" si="30"/>
        <v>95.2</v>
      </c>
      <c r="R492" s="355" t="str">
        <f t="shared" si="29"/>
        <v>NO</v>
      </c>
      <c r="S492" s="347" t="str">
        <f t="shared" si="31"/>
        <v>Inviable Sanitariamente</v>
      </c>
    </row>
    <row r="493" spans="1:19" ht="32.1" customHeight="1">
      <c r="A493" s="562" t="s">
        <v>176</v>
      </c>
      <c r="B493" s="562" t="s">
        <v>2473</v>
      </c>
      <c r="C493" s="567" t="s">
        <v>2474</v>
      </c>
      <c r="D493" s="304">
        <v>63</v>
      </c>
      <c r="E493" s="368"/>
      <c r="F493" s="368"/>
      <c r="G493" s="368"/>
      <c r="H493" s="368"/>
      <c r="I493" s="368"/>
      <c r="J493" s="368"/>
      <c r="K493" s="368"/>
      <c r="L493" s="368">
        <v>97.3</v>
      </c>
      <c r="M493" s="368"/>
      <c r="N493" s="368"/>
      <c r="O493" s="368"/>
      <c r="P493" s="368"/>
      <c r="Q493" s="620">
        <f t="shared" si="30"/>
        <v>97.3</v>
      </c>
      <c r="R493" s="355" t="str">
        <f t="shared" si="29"/>
        <v>NO</v>
      </c>
      <c r="S493" s="347" t="str">
        <f t="shared" si="31"/>
        <v>Inviable Sanitariamente</v>
      </c>
    </row>
    <row r="494" spans="1:19" ht="32.1" customHeight="1">
      <c r="A494" s="564" t="s">
        <v>176</v>
      </c>
      <c r="B494" s="562" t="s">
        <v>2475</v>
      </c>
      <c r="C494" s="567" t="s">
        <v>2476</v>
      </c>
      <c r="D494" s="346">
        <v>44</v>
      </c>
      <c r="E494" s="445"/>
      <c r="F494" s="445"/>
      <c r="G494" s="445"/>
      <c r="H494" s="445"/>
      <c r="I494" s="445">
        <v>95.2</v>
      </c>
      <c r="J494" s="445"/>
      <c r="K494" s="445"/>
      <c r="L494" s="445"/>
      <c r="M494" s="445"/>
      <c r="N494" s="445">
        <v>95.2</v>
      </c>
      <c r="O494" s="445"/>
      <c r="P494" s="445"/>
      <c r="Q494" s="620">
        <f t="shared" si="30"/>
        <v>95.2</v>
      </c>
      <c r="R494" s="355" t="str">
        <f t="shared" si="29"/>
        <v>NO</v>
      </c>
      <c r="S494" s="347" t="str">
        <f t="shared" si="31"/>
        <v>Inviable Sanitariamente</v>
      </c>
    </row>
    <row r="495" spans="1:19" ht="32.1" customHeight="1">
      <c r="A495" s="612" t="s">
        <v>177</v>
      </c>
      <c r="B495" s="562" t="s">
        <v>2477</v>
      </c>
      <c r="C495" s="567" t="s">
        <v>2478</v>
      </c>
      <c r="D495" s="399">
        <v>32</v>
      </c>
      <c r="E495" s="445"/>
      <c r="F495" s="445">
        <v>96.38</v>
      </c>
      <c r="G495" s="445"/>
      <c r="H495" s="445"/>
      <c r="I495" s="445"/>
      <c r="J495" s="634"/>
      <c r="K495" s="445"/>
      <c r="L495" s="445"/>
      <c r="M495" s="445">
        <v>96.4</v>
      </c>
      <c r="N495" s="445"/>
      <c r="O495" s="445"/>
      <c r="P495" s="445"/>
      <c r="Q495" s="620">
        <f t="shared" si="30"/>
        <v>96.39</v>
      </c>
      <c r="R495" s="355" t="str">
        <f t="shared" ref="R495:R520" si="32">IF(Q495&lt;5,"SI","NO")</f>
        <v>NO</v>
      </c>
      <c r="S495" s="347" t="str">
        <f t="shared" si="31"/>
        <v>Inviable Sanitariamente</v>
      </c>
    </row>
    <row r="496" spans="1:19" ht="32.1" customHeight="1">
      <c r="A496" s="612" t="s">
        <v>177</v>
      </c>
      <c r="B496" s="562" t="s">
        <v>2479</v>
      </c>
      <c r="C496" s="567" t="s">
        <v>2480</v>
      </c>
      <c r="D496" s="399">
        <v>24</v>
      </c>
      <c r="E496" s="445"/>
      <c r="F496" s="445"/>
      <c r="G496" s="445"/>
      <c r="H496" s="445"/>
      <c r="I496" s="445">
        <v>96.39</v>
      </c>
      <c r="J496" s="634"/>
      <c r="K496" s="445"/>
      <c r="L496" s="445"/>
      <c r="M496" s="445"/>
      <c r="N496" s="445"/>
      <c r="O496" s="445"/>
      <c r="P496" s="445"/>
      <c r="Q496" s="620">
        <f>AVERAGE(E496:P496)</f>
        <v>96.39</v>
      </c>
      <c r="R496" s="355" t="str">
        <f>IF(Q496&lt;5,"SI","NO")</f>
        <v>NO</v>
      </c>
      <c r="S496" s="347" t="str">
        <f>IF(Q496&lt;5,"Sin Riesgo",IF(Q496 &lt;=14,"Bajo",IF(Q496&lt;=35,"Medio",IF(Q496&lt;=80,"Alto","Inviable Sanitariamente"))))</f>
        <v>Inviable Sanitariamente</v>
      </c>
    </row>
    <row r="497" spans="1:19" ht="32.1" customHeight="1">
      <c r="A497" s="613" t="s">
        <v>177</v>
      </c>
      <c r="B497" s="562" t="s">
        <v>4018</v>
      </c>
      <c r="C497" s="567" t="s">
        <v>4019</v>
      </c>
      <c r="D497" s="304">
        <v>45</v>
      </c>
      <c r="E497" s="368"/>
      <c r="F497" s="368"/>
      <c r="G497" s="368"/>
      <c r="H497" s="368"/>
      <c r="I497" s="368">
        <v>76.92</v>
      </c>
      <c r="J497" s="368"/>
      <c r="K497" s="368"/>
      <c r="L497" s="368"/>
      <c r="M497" s="368"/>
      <c r="N497" s="368">
        <v>76.92</v>
      </c>
      <c r="O497" s="368"/>
      <c r="P497" s="368"/>
      <c r="Q497" s="620">
        <f>AVERAGE(E497:P497)</f>
        <v>76.92</v>
      </c>
      <c r="R497" s="355" t="str">
        <f>IF(Q497&lt;5,"SI","NO")</f>
        <v>NO</v>
      </c>
      <c r="S497" s="347" t="str">
        <f>IF(Q497&lt;5,"Sin Riesgo",IF(Q497 &lt;=14,"Bajo",IF(Q497&lt;=35,"Medio",IF(Q497&lt;=80,"Alto","Inviable Sanitariamente"))))</f>
        <v>Alto</v>
      </c>
    </row>
    <row r="498" spans="1:19" ht="32.1" customHeight="1">
      <c r="A498" s="612" t="s">
        <v>177</v>
      </c>
      <c r="B498" s="562" t="s">
        <v>43</v>
      </c>
      <c r="C498" s="567" t="s">
        <v>4020</v>
      </c>
      <c r="D498" s="399">
        <v>71</v>
      </c>
      <c r="E498" s="445"/>
      <c r="F498" s="634"/>
      <c r="G498" s="445"/>
      <c r="H498" s="445"/>
      <c r="I498" s="445"/>
      <c r="J498" s="634"/>
      <c r="K498" s="445"/>
      <c r="L498" s="445">
        <v>96.4</v>
      </c>
      <c r="M498" s="445"/>
      <c r="N498" s="445"/>
      <c r="O498" s="445"/>
      <c r="P498" s="445"/>
      <c r="Q498" s="620">
        <f t="shared" ref="Q498:Q520" si="33">AVERAGE(E498:P498)</f>
        <v>96.4</v>
      </c>
      <c r="R498" s="355" t="str">
        <f t="shared" si="32"/>
        <v>NO</v>
      </c>
      <c r="S498" s="347" t="str">
        <f t="shared" si="31"/>
        <v>Inviable Sanitariamente</v>
      </c>
    </row>
    <row r="499" spans="1:19" ht="32.1" customHeight="1">
      <c r="A499" s="612" t="s">
        <v>177</v>
      </c>
      <c r="B499" s="562" t="s">
        <v>2481</v>
      </c>
      <c r="C499" s="567" t="s">
        <v>2482</v>
      </c>
      <c r="D499" s="346">
        <v>25</v>
      </c>
      <c r="E499" s="445"/>
      <c r="F499" s="445">
        <v>96.4</v>
      </c>
      <c r="G499" s="639"/>
      <c r="H499" s="445"/>
      <c r="I499" s="445"/>
      <c r="J499" s="445"/>
      <c r="K499" s="445"/>
      <c r="L499" s="445"/>
      <c r="M499" s="445"/>
      <c r="N499" s="445">
        <v>96.4</v>
      </c>
      <c r="O499" s="445"/>
      <c r="P499" s="445"/>
      <c r="Q499" s="620">
        <f t="shared" si="33"/>
        <v>96.4</v>
      </c>
      <c r="R499" s="355" t="str">
        <f t="shared" si="32"/>
        <v>NO</v>
      </c>
      <c r="S499" s="347" t="str">
        <f t="shared" si="31"/>
        <v>Inviable Sanitariamente</v>
      </c>
    </row>
    <row r="500" spans="1:19" ht="32.1" customHeight="1">
      <c r="A500" s="612" t="s">
        <v>177</v>
      </c>
      <c r="B500" s="562" t="s">
        <v>2483</v>
      </c>
      <c r="C500" s="567" t="s">
        <v>2484</v>
      </c>
      <c r="D500" s="399">
        <v>154</v>
      </c>
      <c r="E500" s="445"/>
      <c r="F500" s="634"/>
      <c r="G500" s="445"/>
      <c r="H500" s="445"/>
      <c r="I500" s="445">
        <v>96.39</v>
      </c>
      <c r="J500" s="634"/>
      <c r="K500" s="445"/>
      <c r="L500" s="445"/>
      <c r="M500" s="445"/>
      <c r="N500" s="445"/>
      <c r="O500" s="445"/>
      <c r="P500" s="445">
        <v>96.4</v>
      </c>
      <c r="Q500" s="620">
        <f t="shared" si="33"/>
        <v>96.39500000000001</v>
      </c>
      <c r="R500" s="355" t="str">
        <f t="shared" si="32"/>
        <v>NO</v>
      </c>
      <c r="S500" s="347" t="str">
        <f t="shared" si="31"/>
        <v>Inviable Sanitariamente</v>
      </c>
    </row>
    <row r="501" spans="1:19" ht="32.1" customHeight="1">
      <c r="A501" s="612" t="s">
        <v>177</v>
      </c>
      <c r="B501" s="562" t="s">
        <v>2485</v>
      </c>
      <c r="C501" s="567" t="s">
        <v>2486</v>
      </c>
      <c r="D501" s="399">
        <v>71</v>
      </c>
      <c r="E501" s="445"/>
      <c r="F501" s="634"/>
      <c r="G501" s="445">
        <v>96.39</v>
      </c>
      <c r="H501" s="445"/>
      <c r="I501" s="445"/>
      <c r="J501" s="634"/>
      <c r="K501" s="445"/>
      <c r="L501" s="445"/>
      <c r="M501" s="445"/>
      <c r="N501" s="445">
        <v>96.4</v>
      </c>
      <c r="O501" s="445"/>
      <c r="P501" s="445"/>
      <c r="Q501" s="620">
        <f t="shared" si="33"/>
        <v>96.39500000000001</v>
      </c>
      <c r="R501" s="355" t="str">
        <f t="shared" si="32"/>
        <v>NO</v>
      </c>
      <c r="S501" s="347" t="str">
        <f t="shared" si="31"/>
        <v>Inviable Sanitariamente</v>
      </c>
    </row>
    <row r="502" spans="1:19" ht="32.1" customHeight="1">
      <c r="A502" s="613" t="s">
        <v>177</v>
      </c>
      <c r="B502" s="562" t="s">
        <v>2487</v>
      </c>
      <c r="C502" s="567" t="s">
        <v>2488</v>
      </c>
      <c r="D502" s="304">
        <v>46</v>
      </c>
      <c r="E502" s="368"/>
      <c r="F502" s="368"/>
      <c r="G502" s="368"/>
      <c r="H502" s="368"/>
      <c r="I502" s="368"/>
      <c r="J502" s="368">
        <v>76.900000000000006</v>
      </c>
      <c r="K502" s="368"/>
      <c r="L502" s="368"/>
      <c r="M502" s="368"/>
      <c r="N502" s="368"/>
      <c r="O502" s="368"/>
      <c r="P502" s="368"/>
      <c r="Q502" s="620">
        <f t="shared" si="33"/>
        <v>76.900000000000006</v>
      </c>
      <c r="R502" s="355" t="str">
        <f t="shared" si="32"/>
        <v>NO</v>
      </c>
      <c r="S502" s="347" t="str">
        <f t="shared" si="31"/>
        <v>Alto</v>
      </c>
    </row>
    <row r="503" spans="1:19" ht="32.1" customHeight="1">
      <c r="A503" s="612" t="s">
        <v>177</v>
      </c>
      <c r="B503" s="562" t="s">
        <v>2489</v>
      </c>
      <c r="C503" s="567" t="s">
        <v>2490</v>
      </c>
      <c r="D503" s="399">
        <v>57</v>
      </c>
      <c r="E503" s="445"/>
      <c r="F503" s="634"/>
      <c r="G503" s="445"/>
      <c r="H503" s="445"/>
      <c r="I503" s="445"/>
      <c r="J503" s="634"/>
      <c r="K503" s="445"/>
      <c r="L503" s="445"/>
      <c r="M503" s="445">
        <v>96.4</v>
      </c>
      <c r="N503" s="445"/>
      <c r="O503" s="445"/>
      <c r="P503" s="445"/>
      <c r="Q503" s="620">
        <f t="shared" si="33"/>
        <v>96.4</v>
      </c>
      <c r="R503" s="355" t="str">
        <f t="shared" si="32"/>
        <v>NO</v>
      </c>
      <c r="S503" s="347" t="str">
        <f t="shared" si="31"/>
        <v>Inviable Sanitariamente</v>
      </c>
    </row>
    <row r="504" spans="1:19" s="148" customFormat="1" ht="32.1" customHeight="1">
      <c r="A504" s="612" t="s">
        <v>177</v>
      </c>
      <c r="B504" s="562" t="s">
        <v>793</v>
      </c>
      <c r="C504" s="567" t="s">
        <v>2491</v>
      </c>
      <c r="D504" s="399">
        <v>70</v>
      </c>
      <c r="E504" s="445"/>
      <c r="F504" s="634">
        <v>96.38</v>
      </c>
      <c r="G504" s="445"/>
      <c r="H504" s="445"/>
      <c r="I504" s="445"/>
      <c r="J504" s="634"/>
      <c r="K504" s="445"/>
      <c r="L504" s="445"/>
      <c r="M504" s="445">
        <v>96.4</v>
      </c>
      <c r="N504" s="445"/>
      <c r="O504" s="445"/>
      <c r="P504" s="445"/>
      <c r="Q504" s="620">
        <f t="shared" si="33"/>
        <v>96.39</v>
      </c>
      <c r="R504" s="355" t="str">
        <f t="shared" si="32"/>
        <v>NO</v>
      </c>
      <c r="S504" s="347" t="str">
        <f t="shared" si="31"/>
        <v>Inviable Sanitariamente</v>
      </c>
    </row>
    <row r="505" spans="1:19" ht="32.1" customHeight="1">
      <c r="A505" s="612" t="s">
        <v>177</v>
      </c>
      <c r="B505" s="562" t="s">
        <v>2346</v>
      </c>
      <c r="C505" s="567" t="s">
        <v>2492</v>
      </c>
      <c r="D505" s="399">
        <v>25</v>
      </c>
      <c r="E505" s="445"/>
      <c r="F505" s="634"/>
      <c r="G505" s="445">
        <v>96.39</v>
      </c>
      <c r="H505" s="445"/>
      <c r="I505" s="445"/>
      <c r="J505" s="634"/>
      <c r="K505" s="445"/>
      <c r="L505" s="445"/>
      <c r="M505" s="445"/>
      <c r="N505" s="445"/>
      <c r="O505" s="445"/>
      <c r="P505" s="445"/>
      <c r="Q505" s="620">
        <f t="shared" si="33"/>
        <v>96.39</v>
      </c>
      <c r="R505" s="355" t="str">
        <f t="shared" si="32"/>
        <v>NO</v>
      </c>
      <c r="S505" s="347" t="str">
        <f t="shared" si="31"/>
        <v>Inviable Sanitariamente</v>
      </c>
    </row>
    <row r="506" spans="1:19" ht="32.1" customHeight="1">
      <c r="A506" s="612" t="s">
        <v>177</v>
      </c>
      <c r="B506" s="562" t="s">
        <v>2030</v>
      </c>
      <c r="C506" s="567" t="s">
        <v>2493</v>
      </c>
      <c r="D506" s="399">
        <v>23</v>
      </c>
      <c r="E506" s="445"/>
      <c r="F506" s="634"/>
      <c r="G506" s="445"/>
      <c r="H506" s="445"/>
      <c r="I506" s="445">
        <v>96.39</v>
      </c>
      <c r="J506" s="445"/>
      <c r="K506" s="445"/>
      <c r="L506" s="445"/>
      <c r="M506" s="445"/>
      <c r="N506" s="445"/>
      <c r="O506" s="445"/>
      <c r="P506" s="445"/>
      <c r="Q506" s="620">
        <f t="shared" si="33"/>
        <v>96.39</v>
      </c>
      <c r="R506" s="355" t="str">
        <f t="shared" si="32"/>
        <v>NO</v>
      </c>
      <c r="S506" s="347" t="str">
        <f t="shared" si="31"/>
        <v>Inviable Sanitariamente</v>
      </c>
    </row>
    <row r="507" spans="1:19" ht="32.1" customHeight="1">
      <c r="A507" s="613" t="s">
        <v>177</v>
      </c>
      <c r="B507" s="562" t="s">
        <v>2494</v>
      </c>
      <c r="C507" s="567" t="s">
        <v>2495</v>
      </c>
      <c r="D507" s="304">
        <v>60</v>
      </c>
      <c r="E507" s="368"/>
      <c r="F507" s="368"/>
      <c r="G507" s="368"/>
      <c r="H507" s="368"/>
      <c r="I507" s="368"/>
      <c r="J507" s="368"/>
      <c r="K507" s="368"/>
      <c r="L507" s="368"/>
      <c r="M507" s="368"/>
      <c r="N507" s="368"/>
      <c r="O507" s="368">
        <v>97.35</v>
      </c>
      <c r="P507" s="368"/>
      <c r="Q507" s="620">
        <f t="shared" si="33"/>
        <v>97.35</v>
      </c>
      <c r="R507" s="355" t="str">
        <f t="shared" si="32"/>
        <v>NO</v>
      </c>
      <c r="S507" s="347" t="str">
        <f t="shared" si="31"/>
        <v>Inviable Sanitariamente</v>
      </c>
    </row>
    <row r="508" spans="1:19" ht="32.1" customHeight="1">
      <c r="A508" s="466" t="s">
        <v>177</v>
      </c>
      <c r="B508" s="301" t="s">
        <v>4021</v>
      </c>
      <c r="C508" s="318" t="s">
        <v>4022</v>
      </c>
      <c r="D508" s="399">
        <v>27</v>
      </c>
      <c r="E508" s="445"/>
      <c r="F508" s="634">
        <v>96.38</v>
      </c>
      <c r="G508" s="445"/>
      <c r="H508" s="445"/>
      <c r="I508" s="445"/>
      <c r="J508" s="445"/>
      <c r="K508" s="445"/>
      <c r="L508" s="445"/>
      <c r="M508" s="445"/>
      <c r="N508" s="445"/>
      <c r="O508" s="445"/>
      <c r="P508" s="445"/>
      <c r="Q508" s="620">
        <f>AVERAGE(E508:P508)</f>
        <v>96.38</v>
      </c>
      <c r="R508" s="355" t="str">
        <f>IF(Q508&lt;5,"SI","NO")</f>
        <v>NO</v>
      </c>
      <c r="S508" s="347" t="str">
        <f>IF(Q508&lt;5,"Sin Riesgo",IF(Q508 &lt;=14,"Bajo",IF(Q508&lt;=35,"Medio",IF(Q508&lt;=80,"Alto","Inviable Sanitariamente"))))</f>
        <v>Inviable Sanitariamente</v>
      </c>
    </row>
    <row r="509" spans="1:19" ht="32.1" customHeight="1">
      <c r="A509" s="614" t="s">
        <v>177</v>
      </c>
      <c r="B509" s="615" t="s">
        <v>2496</v>
      </c>
      <c r="C509" s="616" t="s">
        <v>2497</v>
      </c>
      <c r="D509" s="304">
        <v>94</v>
      </c>
      <c r="E509" s="368"/>
      <c r="F509" s="368"/>
      <c r="G509" s="368"/>
      <c r="H509" s="368"/>
      <c r="I509" s="368"/>
      <c r="J509" s="368"/>
      <c r="K509" s="368"/>
      <c r="L509" s="368"/>
      <c r="M509" s="368"/>
      <c r="N509" s="368"/>
      <c r="O509" s="368"/>
      <c r="P509" s="368">
        <v>97.35</v>
      </c>
      <c r="Q509" s="620">
        <f t="shared" si="33"/>
        <v>97.35</v>
      </c>
      <c r="R509" s="355" t="str">
        <f t="shared" si="32"/>
        <v>NO</v>
      </c>
      <c r="S509" s="347" t="str">
        <f t="shared" si="31"/>
        <v>Inviable Sanitariamente</v>
      </c>
    </row>
    <row r="510" spans="1:19" ht="32.1" customHeight="1">
      <c r="A510" s="466" t="s">
        <v>178</v>
      </c>
      <c r="B510" s="301" t="s">
        <v>2498</v>
      </c>
      <c r="C510" s="318" t="s">
        <v>2499</v>
      </c>
      <c r="D510" s="418">
        <v>1107</v>
      </c>
      <c r="E510" s="641">
        <v>0</v>
      </c>
      <c r="F510" s="641"/>
      <c r="G510" s="641">
        <v>0</v>
      </c>
      <c r="H510" s="641"/>
      <c r="I510" s="641"/>
      <c r="J510" s="641">
        <v>0</v>
      </c>
      <c r="K510" s="641"/>
      <c r="L510" s="641">
        <v>0</v>
      </c>
      <c r="M510" s="641"/>
      <c r="N510" s="641">
        <v>0</v>
      </c>
      <c r="O510" s="641">
        <v>0</v>
      </c>
      <c r="P510" s="641"/>
      <c r="Q510" s="620">
        <f t="shared" si="33"/>
        <v>0</v>
      </c>
      <c r="R510" s="331" t="str">
        <f t="shared" si="32"/>
        <v>SI</v>
      </c>
      <c r="S510" s="347" t="str">
        <f t="shared" si="31"/>
        <v>Sin Riesgo</v>
      </c>
    </row>
    <row r="511" spans="1:19" ht="32.1" customHeight="1">
      <c r="A511" s="466" t="s">
        <v>178</v>
      </c>
      <c r="B511" s="301" t="s">
        <v>2500</v>
      </c>
      <c r="C511" s="318" t="s">
        <v>2501</v>
      </c>
      <c r="D511" s="418">
        <v>195</v>
      </c>
      <c r="E511" s="641"/>
      <c r="F511" s="641"/>
      <c r="G511" s="641"/>
      <c r="H511" s="641">
        <v>70.790000000000006</v>
      </c>
      <c r="I511" s="641"/>
      <c r="J511" s="641"/>
      <c r="K511" s="641"/>
      <c r="L511" s="641"/>
      <c r="M511" s="641"/>
      <c r="N511" s="641"/>
      <c r="O511" s="641"/>
      <c r="P511" s="641">
        <v>24</v>
      </c>
      <c r="Q511" s="620">
        <f t="shared" si="33"/>
        <v>47.395000000000003</v>
      </c>
      <c r="R511" s="355" t="str">
        <f t="shared" si="32"/>
        <v>NO</v>
      </c>
      <c r="S511" s="347" t="str">
        <f t="shared" si="31"/>
        <v>Alto</v>
      </c>
    </row>
    <row r="512" spans="1:19" ht="32.1" customHeight="1">
      <c r="A512" s="466" t="s">
        <v>178</v>
      </c>
      <c r="B512" s="301" t="s">
        <v>1713</v>
      </c>
      <c r="C512" s="318" t="s">
        <v>2502</v>
      </c>
      <c r="D512" s="418">
        <v>256</v>
      </c>
      <c r="E512" s="641"/>
      <c r="F512" s="641">
        <v>0</v>
      </c>
      <c r="G512" s="641"/>
      <c r="H512" s="641"/>
      <c r="I512" s="641"/>
      <c r="J512" s="641"/>
      <c r="K512" s="641"/>
      <c r="L512" s="641"/>
      <c r="M512" s="641"/>
      <c r="N512" s="641"/>
      <c r="O512" s="641"/>
      <c r="P512" s="641">
        <v>26.54</v>
      </c>
      <c r="Q512" s="620">
        <f t="shared" si="33"/>
        <v>13.27</v>
      </c>
      <c r="R512" s="331" t="str">
        <f t="shared" si="32"/>
        <v>NO</v>
      </c>
      <c r="S512" s="347" t="str">
        <f t="shared" si="31"/>
        <v>Bajo</v>
      </c>
    </row>
    <row r="513" spans="1:19" ht="32.1" customHeight="1">
      <c r="A513" s="466" t="s">
        <v>178</v>
      </c>
      <c r="B513" s="301" t="s">
        <v>1260</v>
      </c>
      <c r="C513" s="318" t="s">
        <v>2503</v>
      </c>
      <c r="D513" s="418">
        <v>122</v>
      </c>
      <c r="E513" s="641"/>
      <c r="F513" s="641">
        <v>0</v>
      </c>
      <c r="G513" s="641"/>
      <c r="H513" s="641"/>
      <c r="I513" s="641"/>
      <c r="J513" s="641"/>
      <c r="K513" s="641"/>
      <c r="L513" s="641"/>
      <c r="M513" s="641"/>
      <c r="N513" s="641"/>
      <c r="O513" s="641"/>
      <c r="P513" s="641">
        <v>24</v>
      </c>
      <c r="Q513" s="620">
        <f t="shared" si="33"/>
        <v>12</v>
      </c>
      <c r="R513" s="355" t="str">
        <f t="shared" si="32"/>
        <v>NO</v>
      </c>
      <c r="S513" s="347" t="str">
        <f t="shared" si="31"/>
        <v>Bajo</v>
      </c>
    </row>
    <row r="514" spans="1:19" ht="32.1" customHeight="1">
      <c r="A514" s="466" t="s">
        <v>178</v>
      </c>
      <c r="B514" s="301" t="s">
        <v>2504</v>
      </c>
      <c r="C514" s="318" t="s">
        <v>2505</v>
      </c>
      <c r="D514" s="418">
        <v>105</v>
      </c>
      <c r="E514" s="641"/>
      <c r="F514" s="641"/>
      <c r="G514" s="641"/>
      <c r="H514" s="641">
        <v>26.5</v>
      </c>
      <c r="I514" s="641"/>
      <c r="J514" s="641"/>
      <c r="K514" s="641"/>
      <c r="L514" s="641"/>
      <c r="M514" s="641"/>
      <c r="N514" s="641"/>
      <c r="O514" s="641"/>
      <c r="P514" s="641">
        <v>26.5</v>
      </c>
      <c r="Q514" s="620">
        <f t="shared" si="33"/>
        <v>26.5</v>
      </c>
      <c r="R514" s="355" t="str">
        <f t="shared" si="32"/>
        <v>NO</v>
      </c>
      <c r="S514" s="347" t="str">
        <f t="shared" si="31"/>
        <v>Medio</v>
      </c>
    </row>
    <row r="515" spans="1:19" ht="32.1" customHeight="1">
      <c r="A515" s="466" t="s">
        <v>178</v>
      </c>
      <c r="B515" s="301" t="s">
        <v>61</v>
      </c>
      <c r="C515" s="318" t="s">
        <v>2506</v>
      </c>
      <c r="D515" s="418">
        <v>56</v>
      </c>
      <c r="E515" s="641"/>
      <c r="F515" s="641"/>
      <c r="G515" s="641"/>
      <c r="H515" s="641">
        <v>70.790000000000006</v>
      </c>
      <c r="I515" s="641"/>
      <c r="J515" s="641"/>
      <c r="K515" s="641"/>
      <c r="L515" s="641"/>
      <c r="M515" s="641"/>
      <c r="N515" s="641"/>
      <c r="O515" s="641"/>
      <c r="P515" s="641">
        <v>90.4</v>
      </c>
      <c r="Q515" s="620">
        <f t="shared" si="33"/>
        <v>80.594999999999999</v>
      </c>
      <c r="R515" s="355" t="str">
        <f t="shared" si="32"/>
        <v>NO</v>
      </c>
      <c r="S515" s="347" t="str">
        <f t="shared" si="31"/>
        <v>Inviable Sanitariamente</v>
      </c>
    </row>
    <row r="516" spans="1:19" ht="32.1" customHeight="1">
      <c r="A516" s="466" t="s">
        <v>178</v>
      </c>
      <c r="B516" s="301" t="s">
        <v>2507</v>
      </c>
      <c r="C516" s="318" t="s">
        <v>2508</v>
      </c>
      <c r="D516" s="418">
        <v>67</v>
      </c>
      <c r="E516" s="641"/>
      <c r="F516" s="641"/>
      <c r="G516" s="641"/>
      <c r="H516" s="641">
        <v>0</v>
      </c>
      <c r="I516" s="641"/>
      <c r="J516" s="641"/>
      <c r="K516" s="641"/>
      <c r="L516" s="641"/>
      <c r="M516" s="641"/>
      <c r="N516" s="641"/>
      <c r="O516" s="641"/>
      <c r="P516" s="641">
        <v>0</v>
      </c>
      <c r="Q516" s="620">
        <f t="shared" si="33"/>
        <v>0</v>
      </c>
      <c r="R516" s="331" t="str">
        <f t="shared" si="32"/>
        <v>SI</v>
      </c>
      <c r="S516" s="347" t="str">
        <f t="shared" si="31"/>
        <v>Sin Riesgo</v>
      </c>
    </row>
    <row r="517" spans="1:19" ht="32.1" customHeight="1">
      <c r="A517" s="466" t="s">
        <v>178</v>
      </c>
      <c r="B517" s="301" t="s">
        <v>2509</v>
      </c>
      <c r="C517" s="318" t="s">
        <v>2510</v>
      </c>
      <c r="D517" s="418">
        <v>26</v>
      </c>
      <c r="E517" s="641"/>
      <c r="F517" s="641"/>
      <c r="G517" s="641"/>
      <c r="H517" s="641"/>
      <c r="I517" s="641"/>
      <c r="J517" s="641">
        <v>88</v>
      </c>
      <c r="K517" s="641"/>
      <c r="L517" s="641"/>
      <c r="M517" s="641"/>
      <c r="N517" s="641"/>
      <c r="O517" s="641"/>
      <c r="P517" s="641"/>
      <c r="Q517" s="620">
        <f t="shared" si="33"/>
        <v>88</v>
      </c>
      <c r="R517" s="331" t="str">
        <f t="shared" si="32"/>
        <v>NO</v>
      </c>
      <c r="S517" s="347" t="str">
        <f t="shared" si="31"/>
        <v>Inviable Sanitariamente</v>
      </c>
    </row>
    <row r="518" spans="1:19" ht="32.1" customHeight="1">
      <c r="A518" s="466" t="s">
        <v>178</v>
      </c>
      <c r="B518" s="301" t="s">
        <v>2511</v>
      </c>
      <c r="C518" s="318" t="s">
        <v>2512</v>
      </c>
      <c r="D518" s="419">
        <v>75</v>
      </c>
      <c r="E518" s="641"/>
      <c r="F518" s="641"/>
      <c r="G518" s="641"/>
      <c r="H518" s="641"/>
      <c r="I518" s="641"/>
      <c r="J518" s="641">
        <v>88</v>
      </c>
      <c r="K518" s="641"/>
      <c r="L518" s="641"/>
      <c r="M518" s="641"/>
      <c r="N518" s="641">
        <v>70.8</v>
      </c>
      <c r="O518" s="641"/>
      <c r="P518" s="641"/>
      <c r="Q518" s="620">
        <f t="shared" si="33"/>
        <v>79.400000000000006</v>
      </c>
      <c r="R518" s="331" t="str">
        <f t="shared" si="32"/>
        <v>NO</v>
      </c>
      <c r="S518" s="347" t="str">
        <f t="shared" si="31"/>
        <v>Alto</v>
      </c>
    </row>
    <row r="519" spans="1:19" ht="32.1" customHeight="1">
      <c r="A519" s="466" t="s">
        <v>178</v>
      </c>
      <c r="B519" s="301" t="s">
        <v>62</v>
      </c>
      <c r="C519" s="318" t="s">
        <v>2513</v>
      </c>
      <c r="D519" s="419">
        <v>58</v>
      </c>
      <c r="E519" s="641"/>
      <c r="F519" s="641"/>
      <c r="G519" s="641"/>
      <c r="H519" s="641">
        <v>70.790000000000006</v>
      </c>
      <c r="I519" s="641"/>
      <c r="J519" s="641"/>
      <c r="K519" s="641"/>
      <c r="L519" s="641"/>
      <c r="M519" s="641"/>
      <c r="N519" s="641">
        <v>70.790000000000006</v>
      </c>
      <c r="O519" s="641"/>
      <c r="P519" s="641"/>
      <c r="Q519" s="620">
        <f t="shared" si="33"/>
        <v>70.790000000000006</v>
      </c>
      <c r="R519" s="355" t="str">
        <f t="shared" si="32"/>
        <v>NO</v>
      </c>
      <c r="S519" s="347" t="str">
        <f t="shared" si="31"/>
        <v>Alto</v>
      </c>
    </row>
    <row r="520" spans="1:19" ht="32.1" customHeight="1">
      <c r="A520" s="466" t="s">
        <v>178</v>
      </c>
      <c r="B520" s="301" t="s">
        <v>2514</v>
      </c>
      <c r="C520" s="318" t="s">
        <v>2515</v>
      </c>
      <c r="D520" s="418">
        <v>17</v>
      </c>
      <c r="E520" s="641"/>
      <c r="F520" s="641"/>
      <c r="G520" s="641"/>
      <c r="H520" s="641"/>
      <c r="I520" s="641"/>
      <c r="J520" s="641">
        <v>88</v>
      </c>
      <c r="K520" s="641"/>
      <c r="L520" s="641"/>
      <c r="M520" s="641"/>
      <c r="N520" s="641"/>
      <c r="O520" s="641"/>
      <c r="P520" s="641">
        <v>48</v>
      </c>
      <c r="Q520" s="620">
        <f t="shared" si="33"/>
        <v>68</v>
      </c>
      <c r="R520" s="331" t="str">
        <f t="shared" si="32"/>
        <v>NO</v>
      </c>
      <c r="S520" s="347" t="str">
        <f t="shared" si="31"/>
        <v>Alto</v>
      </c>
    </row>
    <row r="521" spans="1:19" ht="32.1" customHeight="1">
      <c r="A521" s="236"/>
      <c r="B521" s="291"/>
      <c r="C521" s="291"/>
      <c r="D521" s="292"/>
      <c r="E521" s="238"/>
      <c r="F521" s="238"/>
      <c r="G521" s="238"/>
      <c r="H521" s="238"/>
      <c r="I521" s="238"/>
      <c r="J521" s="238"/>
      <c r="K521" s="238"/>
      <c r="L521" s="238"/>
      <c r="M521" s="238"/>
      <c r="N521" s="238"/>
      <c r="O521" s="238"/>
      <c r="P521" s="238"/>
      <c r="Q521" s="79"/>
      <c r="R521" s="133"/>
      <c r="S521" s="241"/>
    </row>
    <row r="522" spans="1:19">
      <c r="P522" s="18"/>
      <c r="Q522" s="18"/>
      <c r="R522" s="18"/>
    </row>
    <row r="523" spans="1:19" ht="45.75" customHeight="1">
      <c r="A523" s="266" t="s">
        <v>3920</v>
      </c>
      <c r="B523" s="266" t="s">
        <v>3967</v>
      </c>
      <c r="C523" s="688"/>
      <c r="D523" s="689"/>
      <c r="E523" s="689"/>
      <c r="F523" s="689"/>
      <c r="G523" s="689"/>
      <c r="H523" s="689"/>
      <c r="I523" s="689"/>
      <c r="J523" s="689"/>
      <c r="K523" s="689"/>
      <c r="L523" s="689"/>
      <c r="M523" s="689"/>
      <c r="N523" s="689"/>
      <c r="O523" s="689"/>
      <c r="P523" s="689"/>
      <c r="Q523" s="689"/>
      <c r="R523" s="689"/>
      <c r="S523" s="689"/>
    </row>
    <row r="524" spans="1:19" ht="34.5" customHeight="1">
      <c r="A524" s="270" t="s">
        <v>3881</v>
      </c>
      <c r="B524" s="272">
        <f>COUNTIF(E10:P520,"&lt;=5")</f>
        <v>206</v>
      </c>
      <c r="C524" s="690"/>
      <c r="D524" s="691"/>
      <c r="E524" s="691"/>
      <c r="F524" s="691"/>
      <c r="G524" s="691"/>
      <c r="H524" s="691"/>
      <c r="I524" s="691"/>
      <c r="J524" s="691"/>
      <c r="K524" s="691"/>
      <c r="L524" s="691"/>
      <c r="M524" s="691"/>
      <c r="N524" s="691"/>
      <c r="O524" s="691"/>
      <c r="P524" s="691"/>
      <c r="Q524" s="691"/>
      <c r="R524" s="691"/>
      <c r="S524" s="691"/>
    </row>
    <row r="525" spans="1:19" ht="32.25" customHeight="1">
      <c r="A525" s="257" t="s">
        <v>3882</v>
      </c>
      <c r="B525" s="269">
        <f>COUNTIFS(E10:P520,"&gt;5",E10:P520,"&lt;=14")</f>
        <v>0</v>
      </c>
      <c r="C525" s="690"/>
      <c r="D525" s="691"/>
      <c r="E525" s="691"/>
      <c r="F525" s="691"/>
      <c r="G525" s="691"/>
      <c r="H525" s="691"/>
      <c r="I525" s="691"/>
      <c r="J525" s="691"/>
      <c r="K525" s="691"/>
      <c r="L525" s="691"/>
      <c r="M525" s="691"/>
      <c r="N525" s="691"/>
      <c r="O525" s="691"/>
      <c r="P525" s="691"/>
      <c r="Q525" s="691"/>
      <c r="R525" s="691"/>
      <c r="S525" s="691"/>
    </row>
    <row r="526" spans="1:19" ht="32.25" customHeight="1">
      <c r="A526" s="258" t="s">
        <v>3883</v>
      </c>
      <c r="B526" s="264">
        <f>COUNTIFS(E10:P520,"&gt;14",E10:P520,"&lt;=35")</f>
        <v>64</v>
      </c>
      <c r="C526" s="506"/>
      <c r="D526" s="507"/>
      <c r="E526" s="500"/>
      <c r="F526" s="500"/>
      <c r="G526" s="500"/>
      <c r="H526" s="500"/>
      <c r="I526" s="500"/>
      <c r="J526" s="500"/>
      <c r="K526" s="500"/>
      <c r="L526" s="500"/>
      <c r="M526" s="500"/>
      <c r="N526" s="500"/>
      <c r="O526" s="500"/>
      <c r="P526" s="500"/>
      <c r="Q526" s="500"/>
      <c r="R526" s="500"/>
      <c r="S526" s="500"/>
    </row>
    <row r="527" spans="1:19" ht="32.25" customHeight="1">
      <c r="A527" s="259" t="s">
        <v>3884</v>
      </c>
      <c r="B527" s="264">
        <f>COUNTIFS(E10:P520,"&gt;35",E10:P520,"&lt;=80")</f>
        <v>163</v>
      </c>
      <c r="C527" s="508"/>
    </row>
    <row r="528" spans="1:19" ht="32.25" customHeight="1">
      <c r="A528" s="260" t="s">
        <v>3885</v>
      </c>
      <c r="B528" s="264">
        <f>COUNTIFS(E10:P520,"&gt;80",E10:P520,"&lt;=100")</f>
        <v>355</v>
      </c>
    </row>
    <row r="529" spans="1:2" ht="32.25" customHeight="1">
      <c r="A529" s="279" t="s">
        <v>3886</v>
      </c>
      <c r="B529" s="280">
        <f>COUNT(E10:P520)</f>
        <v>788</v>
      </c>
    </row>
    <row r="530" spans="1:2" ht="37.5" customHeight="1">
      <c r="A530" s="263" t="s">
        <v>3888</v>
      </c>
      <c r="B530" s="265">
        <f>B529-B524</f>
        <v>582</v>
      </c>
    </row>
    <row r="531" spans="1:2"/>
    <row r="532" spans="1:2"/>
    <row r="533" spans="1:2"/>
    <row r="534" spans="1:2"/>
    <row r="535" spans="1:2"/>
    <row r="536" spans="1:2"/>
    <row r="537" spans="1:2"/>
    <row r="538" spans="1:2"/>
    <row r="539" spans="1:2"/>
    <row r="540" spans="1:2"/>
    <row r="541" spans="1:2"/>
    <row r="542" spans="1:2"/>
    <row r="543" spans="1:2"/>
    <row r="544" spans="1:2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60"/>
    <row r="761"/>
    <row r="762"/>
    <row r="763"/>
    <row r="764"/>
    <row r="765"/>
    <row r="766"/>
    <row r="767"/>
    <row r="768"/>
    <row r="769"/>
    <row r="770"/>
    <row r="771"/>
    <row r="772"/>
    <row r="776"/>
    <row r="777"/>
    <row r="778"/>
    <row r="779"/>
    <row r="780"/>
    <row r="781"/>
  </sheetData>
  <autoFilter ref="A10:IV520" xr:uid="{00000000-0009-0000-0000-000004000000}">
    <sortState ref="A12:IV511">
      <sortCondition ref="A10:A516"/>
    </sortState>
  </autoFilter>
  <customSheetViews>
    <customSheetView guid="{75DD7674-E7DE-4BB1-A36D-76AA33452CB3}" scale="60" showAutoFilter="1" hiddenRows="1" hiddenColumns="1">
      <pane xSplit="3" ySplit="10" topLeftCell="D23" activePane="bottomRight" state="frozenSplit"/>
      <selection pane="bottomRight" activeCell="D518" sqref="D51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IV509" xr:uid="{00000000-0000-0000-0000-000000000000}">
        <sortState ref="A12:IV509">
          <sortCondition ref="A10:A514"/>
        </sortState>
      </autoFilter>
    </customSheetView>
    <customSheetView guid="{AEDE1BDB-8710-4CDA-8488-31F49D423ACE}" scale="60" hiddenRows="1" hiddenColumns="1">
      <pane xSplit="3" ySplit="10" topLeftCell="D503" activePane="bottomRight" state="frozenSplit"/>
      <selection pane="bottomRight" activeCell="S518" sqref="S51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10" topLeftCell="D11" activePane="bottomRight" state="frozenSplit"/>
      <selection pane="bottomRight" activeCell="C340" sqref="C34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45C8AF51-29EC-46A5-AB7F-1F0634E55D82}" scale="60" hiddenRows="1" hiddenColumns="1">
      <pane xSplit="2.1587982832618025" ySplit="10" topLeftCell="D509" activePane="bottomRight" state="frozenSplit"/>
      <selection pane="bottomRight" activeCell="C523" sqref="C52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</customSheetViews>
  <mergeCells count="22">
    <mergeCell ref="A9:A10"/>
    <mergeCell ref="B1:D1"/>
    <mergeCell ref="B2:D2"/>
    <mergeCell ref="B3:D3"/>
    <mergeCell ref="E5:G6"/>
    <mergeCell ref="A7:B7"/>
    <mergeCell ref="C525:S525"/>
    <mergeCell ref="H5:J6"/>
    <mergeCell ref="K5:M6"/>
    <mergeCell ref="N5:P6"/>
    <mergeCell ref="Q5:R6"/>
    <mergeCell ref="S5:S6"/>
    <mergeCell ref="C523:S523"/>
    <mergeCell ref="C524:S524"/>
    <mergeCell ref="B5:C6"/>
    <mergeCell ref="S9:S10"/>
    <mergeCell ref="R9:R10"/>
    <mergeCell ref="Q9:Q10"/>
    <mergeCell ref="E9:P9"/>
    <mergeCell ref="C9:C10"/>
    <mergeCell ref="D9:D10"/>
    <mergeCell ref="B9:B10"/>
  </mergeCells>
  <phoneticPr fontId="2" type="noConversion"/>
  <conditionalFormatting sqref="T103 T76:T78 E51:Q51 E92:Q92 E244:Q246 E444:Q444 E509:Q509 Q11:Q41 P42:Q44 Q45:Q50 E54:Q54 Q52:Q53 E59:Q61 E55:G58 E64:Q65 Q62:Q63 E67:Q67 Q66 E69:Q69 Q68 Q70:Q72 E75:Q75 Q74 E85:Q85 E89:Q89 Q90 Q95 E101:Q112 E124:Q124 Q113:Q123 E180:Q180 Q125:Q179 E194:Q194 Q181:Q193 E202:Q203 Q195:Q201 E208:Q208 Q204:Q207 E213:Q213 Q209:Q212 E215:Q215 Q214 E217:Q225 Q216 E230:Q230 Q226:Q229 E232:Q239 Q231 Q240:Q241 Q243 E248:Q248 Q247 E250:Q250 Q249 E263:Q266 Q251:Q262 E276:Q279 Q267:Q275 E284:Q298 Q280:Q283 E300:Q307 Q299 E310:Q310 Q308:Q309 E314:Q315 Q311:Q313 Q316:Q325 O326:Q331 E379:Q379 Q332:Q378 E394:Q394 Q380:Q393 E397:Q397 Q395:Q396 E427:Q427 Q398:Q426 Q428:Q438 E471:Q471 E493:Q493 Q494:Q495 Q445:Q470 Q472 E476:Q477 Q474:Q475 E482:Q482 Q478:Q481 Q483:Q492 E502:Q502 E507:Q507 Q503:Q506 Q498:Q501 Q510:Q520 E73:Q73 E96:Q98 E473:Q473 Q55:Q58 Q76:Q88">
    <cfRule type="containsBlanks" dxfId="7268" priority="6443" stopIfTrue="1">
      <formula>LEN(TRIM(E11))=0</formula>
    </cfRule>
    <cfRule type="cellIs" dxfId="7267" priority="6444" stopIfTrue="1" operator="between">
      <formula>80.1</formula>
      <formula>100</formula>
    </cfRule>
    <cfRule type="cellIs" dxfId="7266" priority="6445" stopIfTrue="1" operator="between">
      <formula>35.1</formula>
      <formula>80</formula>
    </cfRule>
    <cfRule type="cellIs" dxfId="7265" priority="6446" stopIfTrue="1" operator="between">
      <formula>14.1</formula>
      <formula>35</formula>
    </cfRule>
    <cfRule type="cellIs" dxfId="7264" priority="6447" stopIfTrue="1" operator="between">
      <formula>5.1</formula>
      <formula>14</formula>
    </cfRule>
    <cfRule type="cellIs" dxfId="7263" priority="6448" stopIfTrue="1" operator="between">
      <formula>0</formula>
      <formula>5</formula>
    </cfRule>
    <cfRule type="containsBlanks" dxfId="7262" priority="6449" stopIfTrue="1">
      <formula>LEN(TRIM(E11))=0</formula>
    </cfRule>
  </conditionalFormatting>
  <conditionalFormatting sqref="T97:T100 T79">
    <cfRule type="containsBlanks" dxfId="7261" priority="5097" stopIfTrue="1">
      <formula>LEN(TRIM(T79))=0</formula>
    </cfRule>
    <cfRule type="cellIs" dxfId="7260" priority="5098" stopIfTrue="1" operator="between">
      <formula>80.1</formula>
      <formula>100</formula>
    </cfRule>
    <cfRule type="cellIs" dxfId="7259" priority="5099" stopIfTrue="1" operator="between">
      <formula>35.1</formula>
      <formula>80</formula>
    </cfRule>
    <cfRule type="cellIs" dxfId="7258" priority="5100" stopIfTrue="1" operator="between">
      <formula>14.1</formula>
      <formula>35</formula>
    </cfRule>
    <cfRule type="cellIs" dxfId="7257" priority="5101" stopIfTrue="1" operator="between">
      <formula>5.1</formula>
      <formula>14</formula>
    </cfRule>
    <cfRule type="cellIs" dxfId="7256" priority="5102" stopIfTrue="1" operator="between">
      <formula>0</formula>
      <formula>5</formula>
    </cfRule>
    <cfRule type="containsBlanks" dxfId="7255" priority="5103" stopIfTrue="1">
      <formula>LEN(TRIM(T79))=0</formula>
    </cfRule>
  </conditionalFormatting>
  <conditionalFormatting sqref="R322 R306:R319 R133:R153 R183:R191 R155:R181 R194:R241 R243:R304 R95:R98 R325:R438 R444:R488 R11:R90">
    <cfRule type="cellIs" dxfId="7254" priority="4546" stopIfTrue="1" operator="equal">
      <formula>"NO"</formula>
    </cfRule>
  </conditionalFormatting>
  <conditionalFormatting sqref="Q182">
    <cfRule type="containsBlanks" dxfId="7253" priority="3560" stopIfTrue="1">
      <formula>LEN(TRIM(Q182))=0</formula>
    </cfRule>
    <cfRule type="cellIs" dxfId="7252" priority="3561" stopIfTrue="1" operator="between">
      <formula>80.1</formula>
      <formula>100</formula>
    </cfRule>
    <cfRule type="cellIs" dxfId="7251" priority="3562" stopIfTrue="1" operator="between">
      <formula>35.1</formula>
      <formula>80</formula>
    </cfRule>
    <cfRule type="cellIs" dxfId="7250" priority="3563" stopIfTrue="1" operator="between">
      <formula>14.1</formula>
      <formula>35</formula>
    </cfRule>
    <cfRule type="cellIs" dxfId="7249" priority="3564" stopIfTrue="1" operator="between">
      <formula>5.1</formula>
      <formula>14</formula>
    </cfRule>
    <cfRule type="cellIs" dxfId="7248" priority="3565" stopIfTrue="1" operator="between">
      <formula>0</formula>
      <formula>5</formula>
    </cfRule>
    <cfRule type="containsBlanks" dxfId="7247" priority="3566" stopIfTrue="1">
      <formula>LEN(TRIM(Q182))=0</formula>
    </cfRule>
  </conditionalFormatting>
  <conditionalFormatting sqref="R182">
    <cfRule type="cellIs" dxfId="7246" priority="3558" stopIfTrue="1" operator="equal">
      <formula>"NO"</formula>
    </cfRule>
  </conditionalFormatting>
  <conditionalFormatting sqref="Q192:Q193">
    <cfRule type="containsBlanks" dxfId="7245" priority="3545" stopIfTrue="1">
      <formula>LEN(TRIM(Q192))=0</formula>
    </cfRule>
    <cfRule type="cellIs" dxfId="7244" priority="3546" stopIfTrue="1" operator="between">
      <formula>80.1</formula>
      <formula>100</formula>
    </cfRule>
    <cfRule type="cellIs" dxfId="7243" priority="3547" stopIfTrue="1" operator="between">
      <formula>35.1</formula>
      <formula>80</formula>
    </cfRule>
    <cfRule type="cellIs" dxfId="7242" priority="3548" stopIfTrue="1" operator="between">
      <formula>14.1</formula>
      <formula>35</formula>
    </cfRule>
    <cfRule type="cellIs" dxfId="7241" priority="3549" stopIfTrue="1" operator="between">
      <formula>5.1</formula>
      <formula>14</formula>
    </cfRule>
    <cfRule type="cellIs" dxfId="7240" priority="3550" stopIfTrue="1" operator="between">
      <formula>0</formula>
      <formula>5</formula>
    </cfRule>
    <cfRule type="containsBlanks" dxfId="7239" priority="3551" stopIfTrue="1">
      <formula>LEN(TRIM(Q192))=0</formula>
    </cfRule>
  </conditionalFormatting>
  <conditionalFormatting sqref="R192:R193">
    <cfRule type="cellIs" dxfId="7238" priority="3543" stopIfTrue="1" operator="equal">
      <formula>"NO"</formula>
    </cfRule>
  </conditionalFormatting>
  <conditionalFormatting sqref="Q154">
    <cfRule type="containsBlanks" dxfId="7237" priority="3431" stopIfTrue="1">
      <formula>LEN(TRIM(Q154))=0</formula>
    </cfRule>
    <cfRule type="cellIs" dxfId="7236" priority="3432" stopIfTrue="1" operator="between">
      <formula>80.1</formula>
      <formula>100</formula>
    </cfRule>
    <cfRule type="cellIs" dxfId="7235" priority="3433" stopIfTrue="1" operator="between">
      <formula>35.1</formula>
      <formula>80</formula>
    </cfRule>
    <cfRule type="cellIs" dxfId="7234" priority="3434" stopIfTrue="1" operator="between">
      <formula>14.1</formula>
      <formula>35</formula>
    </cfRule>
    <cfRule type="cellIs" dxfId="7233" priority="3435" stopIfTrue="1" operator="between">
      <formula>5.1</formula>
      <formula>14</formula>
    </cfRule>
    <cfRule type="cellIs" dxfId="7232" priority="3436" stopIfTrue="1" operator="between">
      <formula>0</formula>
      <formula>5</formula>
    </cfRule>
    <cfRule type="containsBlanks" dxfId="7231" priority="3437" stopIfTrue="1">
      <formula>LEN(TRIM(Q154))=0</formula>
    </cfRule>
  </conditionalFormatting>
  <conditionalFormatting sqref="R154">
    <cfRule type="cellIs" dxfId="7230" priority="3429" stopIfTrue="1" operator="equal">
      <formula>"NO"</formula>
    </cfRule>
  </conditionalFormatting>
  <conditionalFormatting sqref="Q305">
    <cfRule type="containsBlanks" dxfId="7229" priority="3388" stopIfTrue="1">
      <formula>LEN(TRIM(Q305))=0</formula>
    </cfRule>
    <cfRule type="cellIs" dxfId="7228" priority="3389" stopIfTrue="1" operator="between">
      <formula>80.1</formula>
      <formula>100</formula>
    </cfRule>
    <cfRule type="cellIs" dxfId="7227" priority="3390" stopIfTrue="1" operator="between">
      <formula>35.1</formula>
      <formula>80</formula>
    </cfRule>
    <cfRule type="cellIs" dxfId="7226" priority="3391" stopIfTrue="1" operator="between">
      <formula>14.1</formula>
      <formula>35</formula>
    </cfRule>
    <cfRule type="cellIs" dxfId="7225" priority="3392" stopIfTrue="1" operator="between">
      <formula>5.1</formula>
      <formula>14</formula>
    </cfRule>
    <cfRule type="cellIs" dxfId="7224" priority="3393" stopIfTrue="1" operator="between">
      <formula>0</formula>
      <formula>5</formula>
    </cfRule>
    <cfRule type="containsBlanks" dxfId="7223" priority="3394" stopIfTrue="1">
      <formula>LEN(TRIM(Q305))=0</formula>
    </cfRule>
  </conditionalFormatting>
  <conditionalFormatting sqref="R305">
    <cfRule type="cellIs" dxfId="7222" priority="3386" stopIfTrue="1" operator="equal">
      <formula>"NO"</formula>
    </cfRule>
  </conditionalFormatting>
  <conditionalFormatting sqref="Q320:Q321">
    <cfRule type="containsBlanks" dxfId="7221" priority="3359" stopIfTrue="1">
      <formula>LEN(TRIM(Q320))=0</formula>
    </cfRule>
    <cfRule type="cellIs" dxfId="7220" priority="3360" stopIfTrue="1" operator="between">
      <formula>80.1</formula>
      <formula>100</formula>
    </cfRule>
    <cfRule type="cellIs" dxfId="7219" priority="3361" stopIfTrue="1" operator="between">
      <formula>35.1</formula>
      <formula>80</formula>
    </cfRule>
    <cfRule type="cellIs" dxfId="7218" priority="3362" stopIfTrue="1" operator="between">
      <formula>14.1</formula>
      <formula>35</formula>
    </cfRule>
    <cfRule type="cellIs" dxfId="7217" priority="3363" stopIfTrue="1" operator="between">
      <formula>5.1</formula>
      <formula>14</formula>
    </cfRule>
    <cfRule type="cellIs" dxfId="7216" priority="3364" stopIfTrue="1" operator="between">
      <formula>0</formula>
      <formula>5</formula>
    </cfRule>
    <cfRule type="containsBlanks" dxfId="7215" priority="3365" stopIfTrue="1">
      <formula>LEN(TRIM(Q320))=0</formula>
    </cfRule>
  </conditionalFormatting>
  <conditionalFormatting sqref="R320:R321">
    <cfRule type="cellIs" dxfId="7214" priority="3357" stopIfTrue="1" operator="equal">
      <formula>"NO"</formula>
    </cfRule>
  </conditionalFormatting>
  <conditionalFormatting sqref="Q323">
    <cfRule type="containsBlanks" dxfId="7213" priority="3344" stopIfTrue="1">
      <formula>LEN(TRIM(Q323))=0</formula>
    </cfRule>
    <cfRule type="cellIs" dxfId="7212" priority="3345" stopIfTrue="1" operator="between">
      <formula>80.1</formula>
      <formula>100</formula>
    </cfRule>
    <cfRule type="cellIs" dxfId="7211" priority="3346" stopIfTrue="1" operator="between">
      <formula>35.1</formula>
      <formula>80</formula>
    </cfRule>
    <cfRule type="cellIs" dxfId="7210" priority="3347" stopIfTrue="1" operator="between">
      <formula>14.1</formula>
      <formula>35</formula>
    </cfRule>
    <cfRule type="cellIs" dxfId="7209" priority="3348" stopIfTrue="1" operator="between">
      <formula>5.1</formula>
      <formula>14</formula>
    </cfRule>
    <cfRule type="cellIs" dxfId="7208" priority="3349" stopIfTrue="1" operator="between">
      <formula>0</formula>
      <formula>5</formula>
    </cfRule>
    <cfRule type="containsBlanks" dxfId="7207" priority="3350" stopIfTrue="1">
      <formula>LEN(TRIM(Q323))=0</formula>
    </cfRule>
  </conditionalFormatting>
  <conditionalFormatting sqref="R323">
    <cfRule type="cellIs" dxfId="7206" priority="3342" stopIfTrue="1" operator="equal">
      <formula>"NO"</formula>
    </cfRule>
  </conditionalFormatting>
  <conditionalFormatting sqref="Q324">
    <cfRule type="containsBlanks" dxfId="7205" priority="3329" stopIfTrue="1">
      <formula>LEN(TRIM(Q324))=0</formula>
    </cfRule>
    <cfRule type="cellIs" dxfId="7204" priority="3330" stopIfTrue="1" operator="between">
      <formula>80.1</formula>
      <formula>100</formula>
    </cfRule>
    <cfRule type="cellIs" dxfId="7203" priority="3331" stopIfTrue="1" operator="between">
      <formula>35.1</formula>
      <formula>80</formula>
    </cfRule>
    <cfRule type="cellIs" dxfId="7202" priority="3332" stopIfTrue="1" operator="between">
      <formula>14.1</formula>
      <formula>35</formula>
    </cfRule>
    <cfRule type="cellIs" dxfId="7201" priority="3333" stopIfTrue="1" operator="between">
      <formula>5.1</formula>
      <formula>14</formula>
    </cfRule>
    <cfRule type="cellIs" dxfId="7200" priority="3334" stopIfTrue="1" operator="between">
      <formula>0</formula>
      <formula>5</formula>
    </cfRule>
    <cfRule type="containsBlanks" dxfId="7199" priority="3335" stopIfTrue="1">
      <formula>LEN(TRIM(Q324))=0</formula>
    </cfRule>
  </conditionalFormatting>
  <conditionalFormatting sqref="R324">
    <cfRule type="cellIs" dxfId="7198" priority="3327" stopIfTrue="1" operator="equal">
      <formula>"NO"</formula>
    </cfRule>
  </conditionalFormatting>
  <conditionalFormatting sqref="Q489:Q490">
    <cfRule type="containsBlanks" dxfId="7197" priority="2296" stopIfTrue="1">
      <formula>LEN(TRIM(Q489))=0</formula>
    </cfRule>
    <cfRule type="cellIs" dxfId="7196" priority="2297" stopIfTrue="1" operator="between">
      <formula>80.1</formula>
      <formula>100</formula>
    </cfRule>
    <cfRule type="cellIs" dxfId="7195" priority="2298" stopIfTrue="1" operator="between">
      <formula>35.1</formula>
      <formula>80</formula>
    </cfRule>
    <cfRule type="cellIs" dxfId="7194" priority="2299" stopIfTrue="1" operator="between">
      <formula>14.1</formula>
      <formula>35</formula>
    </cfRule>
    <cfRule type="cellIs" dxfId="7193" priority="2300" stopIfTrue="1" operator="between">
      <formula>5.1</formula>
      <formula>14</formula>
    </cfRule>
    <cfRule type="cellIs" dxfId="7192" priority="2301" stopIfTrue="1" operator="between">
      <formula>0</formula>
      <formula>5</formula>
    </cfRule>
    <cfRule type="containsBlanks" dxfId="7191" priority="2302" stopIfTrue="1">
      <formula>LEN(TRIM(Q489))=0</formula>
    </cfRule>
  </conditionalFormatting>
  <conditionalFormatting sqref="R489:R490">
    <cfRule type="cellIs" dxfId="7190" priority="2294" stopIfTrue="1" operator="equal">
      <formula>"NO"</formula>
    </cfRule>
  </conditionalFormatting>
  <conditionalFormatting sqref="R92 R101:R132">
    <cfRule type="cellIs" dxfId="7189" priority="2287" stopIfTrue="1" operator="equal">
      <formula>"NO"</formula>
    </cfRule>
  </conditionalFormatting>
  <conditionalFormatting sqref="S509:S521 S92 S101:S241 S498:S507 S59:S90 S95:S98 S243:S438 S444:S495 S11:S55">
    <cfRule type="cellIs" dxfId="7188" priority="2286" stopIfTrue="1" operator="equal">
      <formula>"INVIABLE SANITARIAMENTE"</formula>
    </cfRule>
  </conditionalFormatting>
  <conditionalFormatting sqref="S509:S521 S92 S101:S241 S498:S507 S59:S90 S95:S98 S243:S438 S444:S495 S11:S55">
    <cfRule type="containsText" dxfId="7187" priority="2274" stopIfTrue="1" operator="containsText" text="INVIABLE SANITARIAMENTE">
      <formula>NOT(ISERROR(SEARCH("INVIABLE SANITARIAMENTE",S11)))</formula>
    </cfRule>
    <cfRule type="containsText" dxfId="7186" priority="2275" stopIfTrue="1" operator="containsText" text="ALTO">
      <formula>NOT(ISERROR(SEARCH("ALTO",S11)))</formula>
    </cfRule>
    <cfRule type="containsText" dxfId="7185" priority="2276" stopIfTrue="1" operator="containsText" text="MEDIO">
      <formula>NOT(ISERROR(SEARCH("MEDIO",S11)))</formula>
    </cfRule>
    <cfRule type="containsText" dxfId="7184" priority="2277" stopIfTrue="1" operator="containsText" text="BAJO">
      <formula>NOT(ISERROR(SEARCH("BAJO",S11)))</formula>
    </cfRule>
    <cfRule type="containsText" dxfId="7183" priority="2278" stopIfTrue="1" operator="containsText" text="SIN RIESGO">
      <formula>NOT(ISERROR(SEARCH("SIN RIESGO",S11)))</formula>
    </cfRule>
  </conditionalFormatting>
  <conditionalFormatting sqref="S509:S521 S92 S101:S241 S498:S507 S59:S90 S95:S98 S243:S438 S444:S495 S11:S55">
    <cfRule type="containsText" dxfId="7182" priority="2273" stopIfTrue="1" operator="containsText" text="SIN RIESGO">
      <formula>NOT(ISERROR(SEARCH("SIN RIESGO",S11)))</formula>
    </cfRule>
  </conditionalFormatting>
  <conditionalFormatting sqref="Q242">
    <cfRule type="containsBlanks" dxfId="7181" priority="2259" stopIfTrue="1">
      <formula>LEN(TRIM(Q242))=0</formula>
    </cfRule>
    <cfRule type="cellIs" dxfId="7180" priority="2260" stopIfTrue="1" operator="between">
      <formula>80.1</formula>
      <formula>100</formula>
    </cfRule>
    <cfRule type="cellIs" dxfId="7179" priority="2261" stopIfTrue="1" operator="between">
      <formula>35.1</formula>
      <formula>80</formula>
    </cfRule>
    <cfRule type="cellIs" dxfId="7178" priority="2262" stopIfTrue="1" operator="between">
      <formula>14.1</formula>
      <formula>35</formula>
    </cfRule>
    <cfRule type="cellIs" dxfId="7177" priority="2263" stopIfTrue="1" operator="between">
      <formula>5.1</formula>
      <formula>14</formula>
    </cfRule>
    <cfRule type="cellIs" dxfId="7176" priority="2264" stopIfTrue="1" operator="between">
      <formula>0</formula>
      <formula>5</formula>
    </cfRule>
    <cfRule type="containsBlanks" dxfId="7175" priority="2265" stopIfTrue="1">
      <formula>LEN(TRIM(Q242))=0</formula>
    </cfRule>
  </conditionalFormatting>
  <conditionalFormatting sqref="R242">
    <cfRule type="cellIs" dxfId="7174" priority="2258" stopIfTrue="1" operator="equal">
      <formula>"NO"</formula>
    </cfRule>
  </conditionalFormatting>
  <conditionalFormatting sqref="S242">
    <cfRule type="cellIs" dxfId="7173" priority="2257" stopIfTrue="1" operator="equal">
      <formula>"INVIABLE SANITARIAMENTE"</formula>
    </cfRule>
  </conditionalFormatting>
  <conditionalFormatting sqref="S242">
    <cfRule type="containsText" dxfId="7172" priority="2252" stopIfTrue="1" operator="containsText" text="INVIABLE SANITARIAMENTE">
      <formula>NOT(ISERROR(SEARCH("INVIABLE SANITARIAMENTE",S242)))</formula>
    </cfRule>
    <cfRule type="containsText" dxfId="7171" priority="2253" stopIfTrue="1" operator="containsText" text="ALTO">
      <formula>NOT(ISERROR(SEARCH("ALTO",S242)))</formula>
    </cfRule>
    <cfRule type="containsText" dxfId="7170" priority="2254" stopIfTrue="1" operator="containsText" text="MEDIO">
      <formula>NOT(ISERROR(SEARCH("MEDIO",S242)))</formula>
    </cfRule>
    <cfRule type="containsText" dxfId="7169" priority="2255" stopIfTrue="1" operator="containsText" text="BAJO">
      <formula>NOT(ISERROR(SEARCH("BAJO",S242)))</formula>
    </cfRule>
    <cfRule type="containsText" dxfId="7168" priority="2256" stopIfTrue="1" operator="containsText" text="SIN RIESGO">
      <formula>NOT(ISERROR(SEARCH("SIN RIESGO",S242)))</formula>
    </cfRule>
  </conditionalFormatting>
  <conditionalFormatting sqref="S242">
    <cfRule type="containsText" dxfId="7167" priority="2251" stopIfTrue="1" operator="containsText" text="SIN RIESGO">
      <formula>NOT(ISERROR(SEARCH("SIN RIESGO",S242)))</formula>
    </cfRule>
  </conditionalFormatting>
  <conditionalFormatting sqref="Q439">
    <cfRule type="containsBlanks" dxfId="7166" priority="2244" stopIfTrue="1">
      <formula>LEN(TRIM(Q439))=0</formula>
    </cfRule>
    <cfRule type="cellIs" dxfId="7165" priority="2245" stopIfTrue="1" operator="between">
      <formula>80.1</formula>
      <formula>100</formula>
    </cfRule>
    <cfRule type="cellIs" dxfId="7164" priority="2246" stopIfTrue="1" operator="between">
      <formula>35.1</formula>
      <formula>80</formula>
    </cfRule>
    <cfRule type="cellIs" dxfId="7163" priority="2247" stopIfTrue="1" operator="between">
      <formula>14.1</formula>
      <formula>35</formula>
    </cfRule>
    <cfRule type="cellIs" dxfId="7162" priority="2248" stopIfTrue="1" operator="between">
      <formula>5.1</formula>
      <formula>14</formula>
    </cfRule>
    <cfRule type="cellIs" dxfId="7161" priority="2249" stopIfTrue="1" operator="between">
      <formula>0</formula>
      <formula>5</formula>
    </cfRule>
    <cfRule type="containsBlanks" dxfId="7160" priority="2250" stopIfTrue="1">
      <formula>LEN(TRIM(Q439))=0</formula>
    </cfRule>
  </conditionalFormatting>
  <conditionalFormatting sqref="R439">
    <cfRule type="cellIs" dxfId="7159" priority="2243" stopIfTrue="1" operator="equal">
      <formula>"NO"</formula>
    </cfRule>
  </conditionalFormatting>
  <conditionalFormatting sqref="S439">
    <cfRule type="cellIs" dxfId="7158" priority="2242" stopIfTrue="1" operator="equal">
      <formula>"INVIABLE SANITARIAMENTE"</formula>
    </cfRule>
  </conditionalFormatting>
  <conditionalFormatting sqref="S439">
    <cfRule type="containsText" dxfId="7157" priority="2237" stopIfTrue="1" operator="containsText" text="INVIABLE SANITARIAMENTE">
      <formula>NOT(ISERROR(SEARCH("INVIABLE SANITARIAMENTE",S439)))</formula>
    </cfRule>
    <cfRule type="containsText" dxfId="7156" priority="2238" stopIfTrue="1" operator="containsText" text="ALTO">
      <formula>NOT(ISERROR(SEARCH("ALTO",S439)))</formula>
    </cfRule>
    <cfRule type="containsText" dxfId="7155" priority="2239" stopIfTrue="1" operator="containsText" text="MEDIO">
      <formula>NOT(ISERROR(SEARCH("MEDIO",S439)))</formula>
    </cfRule>
    <cfRule type="containsText" dxfId="7154" priority="2240" stopIfTrue="1" operator="containsText" text="BAJO">
      <formula>NOT(ISERROR(SEARCH("BAJO",S439)))</formula>
    </cfRule>
    <cfRule type="containsText" dxfId="7153" priority="2241" stopIfTrue="1" operator="containsText" text="SIN RIESGO">
      <formula>NOT(ISERROR(SEARCH("SIN RIESGO",S439)))</formula>
    </cfRule>
  </conditionalFormatting>
  <conditionalFormatting sqref="S439">
    <cfRule type="containsText" dxfId="7152" priority="2236" stopIfTrue="1" operator="containsText" text="SIN RIESGO">
      <formula>NOT(ISERROR(SEARCH("SIN RIESGO",S439)))</formula>
    </cfRule>
  </conditionalFormatting>
  <conditionalFormatting sqref="Q440">
    <cfRule type="containsBlanks" dxfId="7151" priority="2229" stopIfTrue="1">
      <formula>LEN(TRIM(Q440))=0</formula>
    </cfRule>
    <cfRule type="cellIs" dxfId="7150" priority="2230" stopIfTrue="1" operator="between">
      <formula>80.1</formula>
      <formula>100</formula>
    </cfRule>
    <cfRule type="cellIs" dxfId="7149" priority="2231" stopIfTrue="1" operator="between">
      <formula>35.1</formula>
      <formula>80</formula>
    </cfRule>
    <cfRule type="cellIs" dxfId="7148" priority="2232" stopIfTrue="1" operator="between">
      <formula>14.1</formula>
      <formula>35</formula>
    </cfRule>
    <cfRule type="cellIs" dxfId="7147" priority="2233" stopIfTrue="1" operator="between">
      <formula>5.1</formula>
      <formula>14</formula>
    </cfRule>
    <cfRule type="cellIs" dxfId="7146" priority="2234" stopIfTrue="1" operator="between">
      <formula>0</formula>
      <formula>5</formula>
    </cfRule>
    <cfRule type="containsBlanks" dxfId="7145" priority="2235" stopIfTrue="1">
      <formula>LEN(TRIM(Q440))=0</formula>
    </cfRule>
  </conditionalFormatting>
  <conditionalFormatting sqref="R440">
    <cfRule type="cellIs" dxfId="7144" priority="2228" stopIfTrue="1" operator="equal">
      <formula>"NO"</formula>
    </cfRule>
  </conditionalFormatting>
  <conditionalFormatting sqref="S440">
    <cfRule type="cellIs" dxfId="7143" priority="2227" stopIfTrue="1" operator="equal">
      <formula>"INVIABLE SANITARIAMENTE"</formula>
    </cfRule>
  </conditionalFormatting>
  <conditionalFormatting sqref="S440">
    <cfRule type="containsText" dxfId="7142" priority="2222" stopIfTrue="1" operator="containsText" text="INVIABLE SANITARIAMENTE">
      <formula>NOT(ISERROR(SEARCH("INVIABLE SANITARIAMENTE",S440)))</formula>
    </cfRule>
    <cfRule type="containsText" dxfId="7141" priority="2223" stopIfTrue="1" operator="containsText" text="ALTO">
      <formula>NOT(ISERROR(SEARCH("ALTO",S440)))</formula>
    </cfRule>
    <cfRule type="containsText" dxfId="7140" priority="2224" stopIfTrue="1" operator="containsText" text="MEDIO">
      <formula>NOT(ISERROR(SEARCH("MEDIO",S440)))</formula>
    </cfRule>
    <cfRule type="containsText" dxfId="7139" priority="2225" stopIfTrue="1" operator="containsText" text="BAJO">
      <formula>NOT(ISERROR(SEARCH("BAJO",S440)))</formula>
    </cfRule>
    <cfRule type="containsText" dxfId="7138" priority="2226" stopIfTrue="1" operator="containsText" text="SIN RIESGO">
      <formula>NOT(ISERROR(SEARCH("SIN RIESGO",S440)))</formula>
    </cfRule>
  </conditionalFormatting>
  <conditionalFormatting sqref="S440">
    <cfRule type="containsText" dxfId="7137" priority="2221" stopIfTrue="1" operator="containsText" text="SIN RIESGO">
      <formula>NOT(ISERROR(SEARCH("SIN RIESGO",S440)))</formula>
    </cfRule>
  </conditionalFormatting>
  <conditionalFormatting sqref="E441:Q441">
    <cfRule type="containsBlanks" dxfId="7136" priority="2214" stopIfTrue="1">
      <formula>LEN(TRIM(E441))=0</formula>
    </cfRule>
    <cfRule type="cellIs" dxfId="7135" priority="2215" stopIfTrue="1" operator="between">
      <formula>80.1</formula>
      <formula>100</formula>
    </cfRule>
    <cfRule type="cellIs" dxfId="7134" priority="2216" stopIfTrue="1" operator="between">
      <formula>35.1</formula>
      <formula>80</formula>
    </cfRule>
    <cfRule type="cellIs" dxfId="7133" priority="2217" stopIfTrue="1" operator="between">
      <formula>14.1</formula>
      <formula>35</formula>
    </cfRule>
    <cfRule type="cellIs" dxfId="7132" priority="2218" stopIfTrue="1" operator="between">
      <formula>5.1</formula>
      <formula>14</formula>
    </cfRule>
    <cfRule type="cellIs" dxfId="7131" priority="2219" stopIfTrue="1" operator="between">
      <formula>0</formula>
      <formula>5</formula>
    </cfRule>
    <cfRule type="containsBlanks" dxfId="7130" priority="2220" stopIfTrue="1">
      <formula>LEN(TRIM(E441))=0</formula>
    </cfRule>
  </conditionalFormatting>
  <conditionalFormatting sqref="R441">
    <cfRule type="cellIs" dxfId="7129" priority="2213" stopIfTrue="1" operator="equal">
      <formula>"NO"</formula>
    </cfRule>
  </conditionalFormatting>
  <conditionalFormatting sqref="S441">
    <cfRule type="cellIs" dxfId="7128" priority="2212" stopIfTrue="1" operator="equal">
      <formula>"INVIABLE SANITARIAMENTE"</formula>
    </cfRule>
  </conditionalFormatting>
  <conditionalFormatting sqref="S441">
    <cfRule type="containsText" dxfId="7127" priority="2207" stopIfTrue="1" operator="containsText" text="INVIABLE SANITARIAMENTE">
      <formula>NOT(ISERROR(SEARCH("INVIABLE SANITARIAMENTE",S441)))</formula>
    </cfRule>
    <cfRule type="containsText" dxfId="7126" priority="2208" stopIfTrue="1" operator="containsText" text="ALTO">
      <formula>NOT(ISERROR(SEARCH("ALTO",S441)))</formula>
    </cfRule>
    <cfRule type="containsText" dxfId="7125" priority="2209" stopIfTrue="1" operator="containsText" text="MEDIO">
      <formula>NOT(ISERROR(SEARCH("MEDIO",S441)))</formula>
    </cfRule>
    <cfRule type="containsText" dxfId="7124" priority="2210" stopIfTrue="1" operator="containsText" text="BAJO">
      <formula>NOT(ISERROR(SEARCH("BAJO",S441)))</formula>
    </cfRule>
    <cfRule type="containsText" dxfId="7123" priority="2211" stopIfTrue="1" operator="containsText" text="SIN RIESGO">
      <formula>NOT(ISERROR(SEARCH("SIN RIESGO",S441)))</formula>
    </cfRule>
  </conditionalFormatting>
  <conditionalFormatting sqref="S441">
    <cfRule type="containsText" dxfId="7122" priority="2206" stopIfTrue="1" operator="containsText" text="SIN RIESGO">
      <formula>NOT(ISERROR(SEARCH("SIN RIESGO",S441)))</formula>
    </cfRule>
  </conditionalFormatting>
  <conditionalFormatting sqref="Q442">
    <cfRule type="containsBlanks" dxfId="7121" priority="2199" stopIfTrue="1">
      <formula>LEN(TRIM(Q442))=0</formula>
    </cfRule>
    <cfRule type="cellIs" dxfId="7120" priority="2200" stopIfTrue="1" operator="between">
      <formula>80.1</formula>
      <formula>100</formula>
    </cfRule>
    <cfRule type="cellIs" dxfId="7119" priority="2201" stopIfTrue="1" operator="between">
      <formula>35.1</formula>
      <formula>80</formula>
    </cfRule>
    <cfRule type="cellIs" dxfId="7118" priority="2202" stopIfTrue="1" operator="between">
      <formula>14.1</formula>
      <formula>35</formula>
    </cfRule>
    <cfRule type="cellIs" dxfId="7117" priority="2203" stopIfTrue="1" operator="between">
      <formula>5.1</formula>
      <formula>14</formula>
    </cfRule>
    <cfRule type="cellIs" dxfId="7116" priority="2204" stopIfTrue="1" operator="between">
      <formula>0</formula>
      <formula>5</formula>
    </cfRule>
    <cfRule type="containsBlanks" dxfId="7115" priority="2205" stopIfTrue="1">
      <formula>LEN(TRIM(Q442))=0</formula>
    </cfRule>
  </conditionalFormatting>
  <conditionalFormatting sqref="R442">
    <cfRule type="cellIs" dxfId="7114" priority="2198" stopIfTrue="1" operator="equal">
      <formula>"NO"</formula>
    </cfRule>
  </conditionalFormatting>
  <conditionalFormatting sqref="S442">
    <cfRule type="cellIs" dxfId="7113" priority="2197" stopIfTrue="1" operator="equal">
      <formula>"INVIABLE SANITARIAMENTE"</formula>
    </cfRule>
  </conditionalFormatting>
  <conditionalFormatting sqref="S442">
    <cfRule type="containsText" dxfId="7112" priority="2192" stopIfTrue="1" operator="containsText" text="INVIABLE SANITARIAMENTE">
      <formula>NOT(ISERROR(SEARCH("INVIABLE SANITARIAMENTE",S442)))</formula>
    </cfRule>
    <cfRule type="containsText" dxfId="7111" priority="2193" stopIfTrue="1" operator="containsText" text="ALTO">
      <formula>NOT(ISERROR(SEARCH("ALTO",S442)))</formula>
    </cfRule>
    <cfRule type="containsText" dxfId="7110" priority="2194" stopIfTrue="1" operator="containsText" text="MEDIO">
      <formula>NOT(ISERROR(SEARCH("MEDIO",S442)))</formula>
    </cfRule>
    <cfRule type="containsText" dxfId="7109" priority="2195" stopIfTrue="1" operator="containsText" text="BAJO">
      <formula>NOT(ISERROR(SEARCH("BAJO",S442)))</formula>
    </cfRule>
    <cfRule type="containsText" dxfId="7108" priority="2196" stopIfTrue="1" operator="containsText" text="SIN RIESGO">
      <formula>NOT(ISERROR(SEARCH("SIN RIESGO",S442)))</formula>
    </cfRule>
  </conditionalFormatting>
  <conditionalFormatting sqref="S442">
    <cfRule type="containsText" dxfId="7107" priority="2191" stopIfTrue="1" operator="containsText" text="SIN RIESGO">
      <formula>NOT(ISERROR(SEARCH("SIN RIESGO",S442)))</formula>
    </cfRule>
  </conditionalFormatting>
  <conditionalFormatting sqref="Q443">
    <cfRule type="containsBlanks" dxfId="7106" priority="2184" stopIfTrue="1">
      <formula>LEN(TRIM(Q443))=0</formula>
    </cfRule>
    <cfRule type="cellIs" dxfId="7105" priority="2185" stopIfTrue="1" operator="between">
      <formula>80.1</formula>
      <formula>100</formula>
    </cfRule>
    <cfRule type="cellIs" dxfId="7104" priority="2186" stopIfTrue="1" operator="between">
      <formula>35.1</formula>
      <formula>80</formula>
    </cfRule>
    <cfRule type="cellIs" dxfId="7103" priority="2187" stopIfTrue="1" operator="between">
      <formula>14.1</formula>
      <formula>35</formula>
    </cfRule>
    <cfRule type="cellIs" dxfId="7102" priority="2188" stopIfTrue="1" operator="between">
      <formula>5.1</formula>
      <formula>14</formula>
    </cfRule>
    <cfRule type="cellIs" dxfId="7101" priority="2189" stopIfTrue="1" operator="between">
      <formula>0</formula>
      <formula>5</formula>
    </cfRule>
    <cfRule type="containsBlanks" dxfId="7100" priority="2190" stopIfTrue="1">
      <formula>LEN(TRIM(Q443))=0</formula>
    </cfRule>
  </conditionalFormatting>
  <conditionalFormatting sqref="R443">
    <cfRule type="cellIs" dxfId="7099" priority="2183" stopIfTrue="1" operator="equal">
      <formula>"NO"</formula>
    </cfRule>
  </conditionalFormatting>
  <conditionalFormatting sqref="S443">
    <cfRule type="cellIs" dxfId="7098" priority="2182" stopIfTrue="1" operator="equal">
      <formula>"INVIABLE SANITARIAMENTE"</formula>
    </cfRule>
  </conditionalFormatting>
  <conditionalFormatting sqref="S443">
    <cfRule type="containsText" dxfId="7097" priority="2177" stopIfTrue="1" operator="containsText" text="INVIABLE SANITARIAMENTE">
      <formula>NOT(ISERROR(SEARCH("INVIABLE SANITARIAMENTE",S443)))</formula>
    </cfRule>
    <cfRule type="containsText" dxfId="7096" priority="2178" stopIfTrue="1" operator="containsText" text="ALTO">
      <formula>NOT(ISERROR(SEARCH("ALTO",S443)))</formula>
    </cfRule>
    <cfRule type="containsText" dxfId="7095" priority="2179" stopIfTrue="1" operator="containsText" text="MEDIO">
      <formula>NOT(ISERROR(SEARCH("MEDIO",S443)))</formula>
    </cfRule>
    <cfRule type="containsText" dxfId="7094" priority="2180" stopIfTrue="1" operator="containsText" text="BAJO">
      <formula>NOT(ISERROR(SEARCH("BAJO",S443)))</formula>
    </cfRule>
    <cfRule type="containsText" dxfId="7093" priority="2181" stopIfTrue="1" operator="containsText" text="SIN RIESGO">
      <formula>NOT(ISERROR(SEARCH("SIN RIESGO",S443)))</formula>
    </cfRule>
  </conditionalFormatting>
  <conditionalFormatting sqref="S443">
    <cfRule type="containsText" dxfId="7092" priority="2176" stopIfTrue="1" operator="containsText" text="SIN RIESGO">
      <formula>NOT(ISERROR(SEARCH("SIN RIESGO",S443)))</formula>
    </cfRule>
  </conditionalFormatting>
  <conditionalFormatting sqref="Q496">
    <cfRule type="containsBlanks" dxfId="7091" priority="2169" stopIfTrue="1">
      <formula>LEN(TRIM(Q496))=0</formula>
    </cfRule>
    <cfRule type="cellIs" dxfId="7090" priority="2170" stopIfTrue="1" operator="between">
      <formula>80.1</formula>
      <formula>100</formula>
    </cfRule>
    <cfRule type="cellIs" dxfId="7089" priority="2171" stopIfTrue="1" operator="between">
      <formula>35.1</formula>
      <formula>80</formula>
    </cfRule>
    <cfRule type="cellIs" dxfId="7088" priority="2172" stopIfTrue="1" operator="between">
      <formula>14.1</formula>
      <formula>35</formula>
    </cfRule>
    <cfRule type="cellIs" dxfId="7087" priority="2173" stopIfTrue="1" operator="between">
      <formula>5.1</formula>
      <formula>14</formula>
    </cfRule>
    <cfRule type="cellIs" dxfId="7086" priority="2174" stopIfTrue="1" operator="between">
      <formula>0</formula>
      <formula>5</formula>
    </cfRule>
    <cfRule type="containsBlanks" dxfId="7085" priority="2175" stopIfTrue="1">
      <formula>LEN(TRIM(Q496))=0</formula>
    </cfRule>
  </conditionalFormatting>
  <conditionalFormatting sqref="S496">
    <cfRule type="cellIs" dxfId="7084" priority="2168" stopIfTrue="1" operator="equal">
      <formula>"INVIABLE SANITARIAMENTE"</formula>
    </cfRule>
  </conditionalFormatting>
  <conditionalFormatting sqref="S496">
    <cfRule type="containsText" dxfId="7083" priority="2163" stopIfTrue="1" operator="containsText" text="INVIABLE SANITARIAMENTE">
      <formula>NOT(ISERROR(SEARCH("INVIABLE SANITARIAMENTE",S496)))</formula>
    </cfRule>
    <cfRule type="containsText" dxfId="7082" priority="2164" stopIfTrue="1" operator="containsText" text="ALTO">
      <formula>NOT(ISERROR(SEARCH("ALTO",S496)))</formula>
    </cfRule>
    <cfRule type="containsText" dxfId="7081" priority="2165" stopIfTrue="1" operator="containsText" text="MEDIO">
      <formula>NOT(ISERROR(SEARCH("MEDIO",S496)))</formula>
    </cfRule>
    <cfRule type="containsText" dxfId="7080" priority="2166" stopIfTrue="1" operator="containsText" text="BAJO">
      <formula>NOT(ISERROR(SEARCH("BAJO",S496)))</formula>
    </cfRule>
    <cfRule type="containsText" dxfId="7079" priority="2167" stopIfTrue="1" operator="containsText" text="SIN RIESGO">
      <formula>NOT(ISERROR(SEARCH("SIN RIESGO",S496)))</formula>
    </cfRule>
  </conditionalFormatting>
  <conditionalFormatting sqref="S496">
    <cfRule type="containsText" dxfId="7078" priority="2162" stopIfTrue="1" operator="containsText" text="SIN RIESGO">
      <formula>NOT(ISERROR(SEARCH("SIN RIESGO",S496)))</formula>
    </cfRule>
  </conditionalFormatting>
  <conditionalFormatting sqref="E497:Q497">
    <cfRule type="containsBlanks" dxfId="7077" priority="2155" stopIfTrue="1">
      <formula>LEN(TRIM(E497))=0</formula>
    </cfRule>
    <cfRule type="cellIs" dxfId="7076" priority="2156" stopIfTrue="1" operator="between">
      <formula>80.1</formula>
      <formula>100</formula>
    </cfRule>
    <cfRule type="cellIs" dxfId="7075" priority="2157" stopIfTrue="1" operator="between">
      <formula>35.1</formula>
      <formula>80</formula>
    </cfRule>
    <cfRule type="cellIs" dxfId="7074" priority="2158" stopIfTrue="1" operator="between">
      <formula>14.1</formula>
      <formula>35</formula>
    </cfRule>
    <cfRule type="cellIs" dxfId="7073" priority="2159" stopIfTrue="1" operator="between">
      <formula>5.1</formula>
      <formula>14</formula>
    </cfRule>
    <cfRule type="cellIs" dxfId="7072" priority="2160" stopIfTrue="1" operator="between">
      <formula>0</formula>
      <formula>5</formula>
    </cfRule>
    <cfRule type="containsBlanks" dxfId="7071" priority="2161" stopIfTrue="1">
      <formula>LEN(TRIM(E497))=0</formula>
    </cfRule>
  </conditionalFormatting>
  <conditionalFormatting sqref="S497">
    <cfRule type="cellIs" dxfId="7070" priority="2154" stopIfTrue="1" operator="equal">
      <formula>"INVIABLE SANITARIAMENTE"</formula>
    </cfRule>
  </conditionalFormatting>
  <conditionalFormatting sqref="S497">
    <cfRule type="containsText" dxfId="7069" priority="2149" stopIfTrue="1" operator="containsText" text="INVIABLE SANITARIAMENTE">
      <formula>NOT(ISERROR(SEARCH("INVIABLE SANITARIAMENTE",S497)))</formula>
    </cfRule>
    <cfRule type="containsText" dxfId="7068" priority="2150" stopIfTrue="1" operator="containsText" text="ALTO">
      <formula>NOT(ISERROR(SEARCH("ALTO",S497)))</formula>
    </cfRule>
    <cfRule type="containsText" dxfId="7067" priority="2151" stopIfTrue="1" operator="containsText" text="MEDIO">
      <formula>NOT(ISERROR(SEARCH("MEDIO",S497)))</formula>
    </cfRule>
    <cfRule type="containsText" dxfId="7066" priority="2152" stopIfTrue="1" operator="containsText" text="BAJO">
      <formula>NOT(ISERROR(SEARCH("BAJO",S497)))</formula>
    </cfRule>
    <cfRule type="containsText" dxfId="7065" priority="2153" stopIfTrue="1" operator="containsText" text="SIN RIESGO">
      <formula>NOT(ISERROR(SEARCH("SIN RIESGO",S497)))</formula>
    </cfRule>
  </conditionalFormatting>
  <conditionalFormatting sqref="S497">
    <cfRule type="containsText" dxfId="7064" priority="2148" stopIfTrue="1" operator="containsText" text="SIN RIESGO">
      <formula>NOT(ISERROR(SEARCH("SIN RIESGO",S497)))</formula>
    </cfRule>
  </conditionalFormatting>
  <conditionalFormatting sqref="Q508">
    <cfRule type="containsBlanks" dxfId="7063" priority="2141" stopIfTrue="1">
      <formula>LEN(TRIM(Q508))=0</formula>
    </cfRule>
    <cfRule type="cellIs" dxfId="7062" priority="2142" stopIfTrue="1" operator="between">
      <formula>80.1</formula>
      <formula>100</formula>
    </cfRule>
    <cfRule type="cellIs" dxfId="7061" priority="2143" stopIfTrue="1" operator="between">
      <formula>35.1</formula>
      <formula>80</formula>
    </cfRule>
    <cfRule type="cellIs" dxfId="7060" priority="2144" stopIfTrue="1" operator="between">
      <formula>14.1</formula>
      <formula>35</formula>
    </cfRule>
    <cfRule type="cellIs" dxfId="7059" priority="2145" stopIfTrue="1" operator="between">
      <formula>5.1</formula>
      <formula>14</formula>
    </cfRule>
    <cfRule type="cellIs" dxfId="7058" priority="2146" stopIfTrue="1" operator="between">
      <formula>0</formula>
      <formula>5</formula>
    </cfRule>
    <cfRule type="containsBlanks" dxfId="7057" priority="2147" stopIfTrue="1">
      <formula>LEN(TRIM(Q508))=0</formula>
    </cfRule>
  </conditionalFormatting>
  <conditionalFormatting sqref="S508">
    <cfRule type="cellIs" dxfId="7056" priority="2140" stopIfTrue="1" operator="equal">
      <formula>"INVIABLE SANITARIAMENTE"</formula>
    </cfRule>
  </conditionalFormatting>
  <conditionalFormatting sqref="S508">
    <cfRule type="containsText" dxfId="7055" priority="2135" stopIfTrue="1" operator="containsText" text="INVIABLE SANITARIAMENTE">
      <formula>NOT(ISERROR(SEARCH("INVIABLE SANITARIAMENTE",S508)))</formula>
    </cfRule>
    <cfRule type="containsText" dxfId="7054" priority="2136" stopIfTrue="1" operator="containsText" text="ALTO">
      <formula>NOT(ISERROR(SEARCH("ALTO",S508)))</formula>
    </cfRule>
    <cfRule type="containsText" dxfId="7053" priority="2137" stopIfTrue="1" operator="containsText" text="MEDIO">
      <formula>NOT(ISERROR(SEARCH("MEDIO",S508)))</formula>
    </cfRule>
    <cfRule type="containsText" dxfId="7052" priority="2138" stopIfTrue="1" operator="containsText" text="BAJO">
      <formula>NOT(ISERROR(SEARCH("BAJO",S508)))</formula>
    </cfRule>
    <cfRule type="containsText" dxfId="7051" priority="2139" stopIfTrue="1" operator="containsText" text="SIN RIESGO">
      <formula>NOT(ISERROR(SEARCH("SIN RIESGO",S508)))</formula>
    </cfRule>
  </conditionalFormatting>
  <conditionalFormatting sqref="S508">
    <cfRule type="containsText" dxfId="7050" priority="2134" stopIfTrue="1" operator="containsText" text="SIN RIESGO">
      <formula>NOT(ISERROR(SEARCH("SIN RIESGO",S508)))</formula>
    </cfRule>
  </conditionalFormatting>
  <conditionalFormatting sqref="Q91">
    <cfRule type="containsBlanks" dxfId="7049" priority="2127" stopIfTrue="1">
      <formula>LEN(TRIM(Q91))=0</formula>
    </cfRule>
    <cfRule type="cellIs" dxfId="7048" priority="2128" stopIfTrue="1" operator="between">
      <formula>80.1</formula>
      <formula>100</formula>
    </cfRule>
    <cfRule type="cellIs" dxfId="7047" priority="2129" stopIfTrue="1" operator="between">
      <formula>35.1</formula>
      <formula>80</formula>
    </cfRule>
    <cfRule type="cellIs" dxfId="7046" priority="2130" stopIfTrue="1" operator="between">
      <formula>14.1</formula>
      <formula>35</formula>
    </cfRule>
    <cfRule type="cellIs" dxfId="7045" priority="2131" stopIfTrue="1" operator="between">
      <formula>5.1</formula>
      <formula>14</formula>
    </cfRule>
    <cfRule type="cellIs" dxfId="7044" priority="2132" stopIfTrue="1" operator="between">
      <formula>0</formula>
      <formula>5</formula>
    </cfRule>
    <cfRule type="containsBlanks" dxfId="7043" priority="2133" stopIfTrue="1">
      <formula>LEN(TRIM(Q91))=0</formula>
    </cfRule>
  </conditionalFormatting>
  <conditionalFormatting sqref="R91">
    <cfRule type="cellIs" dxfId="7042" priority="2126" stopIfTrue="1" operator="equal">
      <formula>"NO"</formula>
    </cfRule>
  </conditionalFormatting>
  <conditionalFormatting sqref="S91">
    <cfRule type="cellIs" dxfId="7041" priority="2125" stopIfTrue="1" operator="equal">
      <formula>"INVIABLE SANITARIAMENTE"</formula>
    </cfRule>
  </conditionalFormatting>
  <conditionalFormatting sqref="S91">
    <cfRule type="containsText" dxfId="7040" priority="2120" stopIfTrue="1" operator="containsText" text="INVIABLE SANITARIAMENTE">
      <formula>NOT(ISERROR(SEARCH("INVIABLE SANITARIAMENTE",S91)))</formula>
    </cfRule>
    <cfRule type="containsText" dxfId="7039" priority="2121" stopIfTrue="1" operator="containsText" text="ALTO">
      <formula>NOT(ISERROR(SEARCH("ALTO",S91)))</formula>
    </cfRule>
    <cfRule type="containsText" dxfId="7038" priority="2122" stopIfTrue="1" operator="containsText" text="MEDIO">
      <formula>NOT(ISERROR(SEARCH("MEDIO",S91)))</formula>
    </cfRule>
    <cfRule type="containsText" dxfId="7037" priority="2123" stopIfTrue="1" operator="containsText" text="BAJO">
      <formula>NOT(ISERROR(SEARCH("BAJO",S91)))</formula>
    </cfRule>
    <cfRule type="containsText" dxfId="7036" priority="2124" stopIfTrue="1" operator="containsText" text="SIN RIESGO">
      <formula>NOT(ISERROR(SEARCH("SIN RIESGO",S91)))</formula>
    </cfRule>
  </conditionalFormatting>
  <conditionalFormatting sqref="S91">
    <cfRule type="containsText" dxfId="7035" priority="2119" stopIfTrue="1" operator="containsText" text="SIN RIESGO">
      <formula>NOT(ISERROR(SEARCH("SIN RIESGO",S91)))</formula>
    </cfRule>
  </conditionalFormatting>
  <conditionalFormatting sqref="E93:Q93">
    <cfRule type="containsBlanks" dxfId="7034" priority="2112" stopIfTrue="1">
      <formula>LEN(TRIM(E93))=0</formula>
    </cfRule>
    <cfRule type="cellIs" dxfId="7033" priority="2113" stopIfTrue="1" operator="between">
      <formula>80.1</formula>
      <formula>100</formula>
    </cfRule>
    <cfRule type="cellIs" dxfId="7032" priority="2114" stopIfTrue="1" operator="between">
      <formula>35.1</formula>
      <formula>80</formula>
    </cfRule>
    <cfRule type="cellIs" dxfId="7031" priority="2115" stopIfTrue="1" operator="between">
      <formula>14.1</formula>
      <formula>35</formula>
    </cfRule>
    <cfRule type="cellIs" dxfId="7030" priority="2116" stopIfTrue="1" operator="between">
      <formula>5.1</formula>
      <formula>14</formula>
    </cfRule>
    <cfRule type="cellIs" dxfId="7029" priority="2117" stopIfTrue="1" operator="between">
      <formula>0</formula>
      <formula>5</formula>
    </cfRule>
    <cfRule type="containsBlanks" dxfId="7028" priority="2118" stopIfTrue="1">
      <formula>LEN(TRIM(E93))=0</formula>
    </cfRule>
  </conditionalFormatting>
  <conditionalFormatting sqref="R93">
    <cfRule type="cellIs" dxfId="7027" priority="2111" stopIfTrue="1" operator="equal">
      <formula>"NO"</formula>
    </cfRule>
  </conditionalFormatting>
  <conditionalFormatting sqref="S93">
    <cfRule type="cellIs" dxfId="7026" priority="2110" stopIfTrue="1" operator="equal">
      <formula>"INVIABLE SANITARIAMENTE"</formula>
    </cfRule>
  </conditionalFormatting>
  <conditionalFormatting sqref="S93">
    <cfRule type="containsText" dxfId="7025" priority="2105" stopIfTrue="1" operator="containsText" text="INVIABLE SANITARIAMENTE">
      <formula>NOT(ISERROR(SEARCH("INVIABLE SANITARIAMENTE",S93)))</formula>
    </cfRule>
    <cfRule type="containsText" dxfId="7024" priority="2106" stopIfTrue="1" operator="containsText" text="ALTO">
      <formula>NOT(ISERROR(SEARCH("ALTO",S93)))</formula>
    </cfRule>
    <cfRule type="containsText" dxfId="7023" priority="2107" stopIfTrue="1" operator="containsText" text="MEDIO">
      <formula>NOT(ISERROR(SEARCH("MEDIO",S93)))</formula>
    </cfRule>
    <cfRule type="containsText" dxfId="7022" priority="2108" stopIfTrue="1" operator="containsText" text="BAJO">
      <formula>NOT(ISERROR(SEARCH("BAJO",S93)))</formula>
    </cfRule>
    <cfRule type="containsText" dxfId="7021" priority="2109" stopIfTrue="1" operator="containsText" text="SIN RIESGO">
      <formula>NOT(ISERROR(SEARCH("SIN RIESGO",S93)))</formula>
    </cfRule>
  </conditionalFormatting>
  <conditionalFormatting sqref="S93">
    <cfRule type="containsText" dxfId="7020" priority="2104" stopIfTrue="1" operator="containsText" text="SIN RIESGO">
      <formula>NOT(ISERROR(SEARCH("SIN RIESGO",S93)))</formula>
    </cfRule>
  </conditionalFormatting>
  <conditionalFormatting sqref="Q94">
    <cfRule type="containsBlanks" dxfId="7019" priority="2097" stopIfTrue="1">
      <formula>LEN(TRIM(Q94))=0</formula>
    </cfRule>
    <cfRule type="cellIs" dxfId="7018" priority="2098" stopIfTrue="1" operator="between">
      <formula>80.1</formula>
      <formula>100</formula>
    </cfRule>
    <cfRule type="cellIs" dxfId="7017" priority="2099" stopIfTrue="1" operator="between">
      <formula>35.1</formula>
      <formula>80</formula>
    </cfRule>
    <cfRule type="cellIs" dxfId="7016" priority="2100" stopIfTrue="1" operator="between">
      <formula>14.1</formula>
      <formula>35</formula>
    </cfRule>
    <cfRule type="cellIs" dxfId="7015" priority="2101" stopIfTrue="1" operator="between">
      <formula>5.1</formula>
      <formula>14</formula>
    </cfRule>
    <cfRule type="cellIs" dxfId="7014" priority="2102" stopIfTrue="1" operator="between">
      <formula>0</formula>
      <formula>5</formula>
    </cfRule>
    <cfRule type="containsBlanks" dxfId="7013" priority="2103" stopIfTrue="1">
      <formula>LEN(TRIM(Q94))=0</formula>
    </cfRule>
  </conditionalFormatting>
  <conditionalFormatting sqref="R94">
    <cfRule type="cellIs" dxfId="7012" priority="2096" stopIfTrue="1" operator="equal">
      <formula>"NO"</formula>
    </cfRule>
  </conditionalFormatting>
  <conditionalFormatting sqref="S94">
    <cfRule type="cellIs" dxfId="7011" priority="2095" stopIfTrue="1" operator="equal">
      <formula>"INVIABLE SANITARIAMENTE"</formula>
    </cfRule>
  </conditionalFormatting>
  <conditionalFormatting sqref="S94">
    <cfRule type="containsText" dxfId="7010" priority="2090" stopIfTrue="1" operator="containsText" text="INVIABLE SANITARIAMENTE">
      <formula>NOT(ISERROR(SEARCH("INVIABLE SANITARIAMENTE",S94)))</formula>
    </cfRule>
    <cfRule type="containsText" dxfId="7009" priority="2091" stopIfTrue="1" operator="containsText" text="ALTO">
      <formula>NOT(ISERROR(SEARCH("ALTO",S94)))</formula>
    </cfRule>
    <cfRule type="containsText" dxfId="7008" priority="2092" stopIfTrue="1" operator="containsText" text="MEDIO">
      <formula>NOT(ISERROR(SEARCH("MEDIO",S94)))</formula>
    </cfRule>
    <cfRule type="containsText" dxfId="7007" priority="2093" stopIfTrue="1" operator="containsText" text="BAJO">
      <formula>NOT(ISERROR(SEARCH("BAJO",S94)))</formula>
    </cfRule>
    <cfRule type="containsText" dxfId="7006" priority="2094" stopIfTrue="1" operator="containsText" text="SIN RIESGO">
      <formula>NOT(ISERROR(SEARCH("SIN RIESGO",S94)))</formula>
    </cfRule>
  </conditionalFormatting>
  <conditionalFormatting sqref="S94">
    <cfRule type="containsText" dxfId="7005" priority="2089" stopIfTrue="1" operator="containsText" text="SIN RIESGO">
      <formula>NOT(ISERROR(SEARCH("SIN RIESGO",S94)))</formula>
    </cfRule>
  </conditionalFormatting>
  <conditionalFormatting sqref="E45:P50">
    <cfRule type="containsBlanks" dxfId="7004" priority="2082" stopIfTrue="1">
      <formula>LEN(TRIM(E45))=0</formula>
    </cfRule>
    <cfRule type="cellIs" dxfId="7003" priority="2083" stopIfTrue="1" operator="between">
      <formula>80.1</formula>
      <formula>100</formula>
    </cfRule>
    <cfRule type="cellIs" dxfId="7002" priority="2084" stopIfTrue="1" operator="between">
      <formula>35.1</formula>
      <formula>80</formula>
    </cfRule>
    <cfRule type="cellIs" dxfId="7001" priority="2085" stopIfTrue="1" operator="between">
      <formula>14.1</formula>
      <formula>35</formula>
    </cfRule>
    <cfRule type="cellIs" dxfId="7000" priority="2086" stopIfTrue="1" operator="between">
      <formula>5.1</formula>
      <formula>14</formula>
    </cfRule>
    <cfRule type="cellIs" dxfId="6999" priority="2087" stopIfTrue="1" operator="between">
      <formula>0</formula>
      <formula>5</formula>
    </cfRule>
    <cfRule type="containsBlanks" dxfId="6998" priority="2088" stopIfTrue="1">
      <formula>LEN(TRIM(E45))=0</formula>
    </cfRule>
  </conditionalFormatting>
  <conditionalFormatting sqref="E52:P53">
    <cfRule type="containsBlanks" dxfId="6997" priority="2075" stopIfTrue="1">
      <formula>LEN(TRIM(E52))=0</formula>
    </cfRule>
    <cfRule type="cellIs" dxfId="6996" priority="2076" stopIfTrue="1" operator="between">
      <formula>80.1</formula>
      <formula>100</formula>
    </cfRule>
    <cfRule type="cellIs" dxfId="6995" priority="2077" stopIfTrue="1" operator="between">
      <formula>35.1</formula>
      <formula>80</formula>
    </cfRule>
    <cfRule type="cellIs" dxfId="6994" priority="2078" stopIfTrue="1" operator="between">
      <formula>14.1</formula>
      <formula>35</formula>
    </cfRule>
    <cfRule type="cellIs" dxfId="6993" priority="2079" stopIfTrue="1" operator="between">
      <formula>5.1</formula>
      <formula>14</formula>
    </cfRule>
    <cfRule type="cellIs" dxfId="6992" priority="2080" stopIfTrue="1" operator="between">
      <formula>0</formula>
      <formula>5</formula>
    </cfRule>
    <cfRule type="containsBlanks" dxfId="6991" priority="2081" stopIfTrue="1">
      <formula>LEN(TRIM(E52))=0</formula>
    </cfRule>
  </conditionalFormatting>
  <conditionalFormatting sqref="I55:P58 T55 S56:T58">
    <cfRule type="containsBlanks" dxfId="6990" priority="2068" stopIfTrue="1">
      <formula>LEN(TRIM(I55))=0</formula>
    </cfRule>
    <cfRule type="cellIs" dxfId="6989" priority="2069" stopIfTrue="1" operator="between">
      <formula>80.1</formula>
      <formula>100</formula>
    </cfRule>
    <cfRule type="cellIs" dxfId="6988" priority="2070" stopIfTrue="1" operator="between">
      <formula>35.1</formula>
      <formula>80</formula>
    </cfRule>
    <cfRule type="cellIs" dxfId="6987" priority="2071" stopIfTrue="1" operator="between">
      <formula>14.1</formula>
      <formula>35</formula>
    </cfRule>
    <cfRule type="cellIs" dxfId="6986" priority="2072" stopIfTrue="1" operator="between">
      <formula>5.1</formula>
      <formula>14</formula>
    </cfRule>
    <cfRule type="cellIs" dxfId="6985" priority="2073" stopIfTrue="1" operator="between">
      <formula>0</formula>
      <formula>5</formula>
    </cfRule>
    <cfRule type="containsBlanks" dxfId="6984" priority="2074" stopIfTrue="1">
      <formula>LEN(TRIM(I55))=0</formula>
    </cfRule>
  </conditionalFormatting>
  <conditionalFormatting sqref="E63:P63">
    <cfRule type="containsBlanks" dxfId="6983" priority="2061" stopIfTrue="1">
      <formula>LEN(TRIM(E63))=0</formula>
    </cfRule>
    <cfRule type="cellIs" dxfId="6982" priority="2062" stopIfTrue="1" operator="between">
      <formula>80.1</formula>
      <formula>100</formula>
    </cfRule>
    <cfRule type="cellIs" dxfId="6981" priority="2063" stopIfTrue="1" operator="between">
      <formula>35.1</formula>
      <formula>80</formula>
    </cfRule>
    <cfRule type="cellIs" dxfId="6980" priority="2064" stopIfTrue="1" operator="between">
      <formula>14.1</formula>
      <formula>35</formula>
    </cfRule>
    <cfRule type="cellIs" dxfId="6979" priority="2065" stopIfTrue="1" operator="between">
      <formula>5.1</formula>
      <formula>14</formula>
    </cfRule>
    <cfRule type="cellIs" dxfId="6978" priority="2066" stopIfTrue="1" operator="between">
      <formula>0</formula>
      <formula>5</formula>
    </cfRule>
    <cfRule type="containsBlanks" dxfId="6977" priority="2067" stopIfTrue="1">
      <formula>LEN(TRIM(E63))=0</formula>
    </cfRule>
  </conditionalFormatting>
  <conditionalFormatting sqref="E62:P62">
    <cfRule type="containsBlanks" dxfId="6976" priority="2054" stopIfTrue="1">
      <formula>LEN(TRIM(E62))=0</formula>
    </cfRule>
    <cfRule type="cellIs" dxfId="6975" priority="2055" stopIfTrue="1" operator="between">
      <formula>80.1</formula>
      <formula>100</formula>
    </cfRule>
    <cfRule type="cellIs" dxfId="6974" priority="2056" stopIfTrue="1" operator="between">
      <formula>35.1</formula>
      <formula>80</formula>
    </cfRule>
    <cfRule type="cellIs" dxfId="6973" priority="2057" stopIfTrue="1" operator="between">
      <formula>14.1</formula>
      <formula>35</formula>
    </cfRule>
    <cfRule type="cellIs" dxfId="6972" priority="2058" stopIfTrue="1" operator="between">
      <formula>5.1</formula>
      <formula>14</formula>
    </cfRule>
    <cfRule type="cellIs" dxfId="6971" priority="2059" stopIfTrue="1" operator="between">
      <formula>0</formula>
      <formula>5</formula>
    </cfRule>
    <cfRule type="containsBlanks" dxfId="6970" priority="2060" stopIfTrue="1">
      <formula>LEN(TRIM(E62))=0</formula>
    </cfRule>
  </conditionalFormatting>
  <conditionalFormatting sqref="E66:P66">
    <cfRule type="containsBlanks" dxfId="6969" priority="2047" stopIfTrue="1">
      <formula>LEN(TRIM(E66))=0</formula>
    </cfRule>
    <cfRule type="cellIs" dxfId="6968" priority="2048" stopIfTrue="1" operator="between">
      <formula>80.1</formula>
      <formula>100</formula>
    </cfRule>
    <cfRule type="cellIs" dxfId="6967" priority="2049" stopIfTrue="1" operator="between">
      <formula>35.1</formula>
      <formula>80</formula>
    </cfRule>
    <cfRule type="cellIs" dxfId="6966" priority="2050" stopIfTrue="1" operator="between">
      <formula>14.1</formula>
      <formula>35</formula>
    </cfRule>
    <cfRule type="cellIs" dxfId="6965" priority="2051" stopIfTrue="1" operator="between">
      <formula>5.1</formula>
      <formula>14</formula>
    </cfRule>
    <cfRule type="cellIs" dxfId="6964" priority="2052" stopIfTrue="1" operator="between">
      <formula>0</formula>
      <formula>5</formula>
    </cfRule>
    <cfRule type="containsBlanks" dxfId="6963" priority="2053" stopIfTrue="1">
      <formula>LEN(TRIM(E66))=0</formula>
    </cfRule>
  </conditionalFormatting>
  <conditionalFormatting sqref="E68:P68">
    <cfRule type="containsBlanks" dxfId="6962" priority="2040" stopIfTrue="1">
      <formula>LEN(TRIM(E68))=0</formula>
    </cfRule>
    <cfRule type="cellIs" dxfId="6961" priority="2041" stopIfTrue="1" operator="between">
      <formula>80.1</formula>
      <formula>100</formula>
    </cfRule>
    <cfRule type="cellIs" dxfId="6960" priority="2042" stopIfTrue="1" operator="between">
      <formula>35.1</formula>
      <formula>80</formula>
    </cfRule>
    <cfRule type="cellIs" dxfId="6959" priority="2043" stopIfTrue="1" operator="between">
      <formula>14.1</formula>
      <formula>35</formula>
    </cfRule>
    <cfRule type="cellIs" dxfId="6958" priority="2044" stopIfTrue="1" operator="between">
      <formula>5.1</formula>
      <formula>14</formula>
    </cfRule>
    <cfRule type="cellIs" dxfId="6957" priority="2045" stopIfTrue="1" operator="between">
      <formula>0</formula>
      <formula>5</formula>
    </cfRule>
    <cfRule type="containsBlanks" dxfId="6956" priority="2046" stopIfTrue="1">
      <formula>LEN(TRIM(E68))=0</formula>
    </cfRule>
  </conditionalFormatting>
  <conditionalFormatting sqref="E70:P70">
    <cfRule type="containsBlanks" dxfId="6955" priority="2033" stopIfTrue="1">
      <formula>LEN(TRIM(E70))=0</formula>
    </cfRule>
    <cfRule type="cellIs" dxfId="6954" priority="2034" stopIfTrue="1" operator="between">
      <formula>80.1</formula>
      <formula>100</formula>
    </cfRule>
    <cfRule type="cellIs" dxfId="6953" priority="2035" stopIfTrue="1" operator="between">
      <formula>35.1</formula>
      <formula>80</formula>
    </cfRule>
    <cfRule type="cellIs" dxfId="6952" priority="2036" stopIfTrue="1" operator="between">
      <formula>14.1</formula>
      <formula>35</formula>
    </cfRule>
    <cfRule type="cellIs" dxfId="6951" priority="2037" stopIfTrue="1" operator="between">
      <formula>5.1</formula>
      <formula>14</formula>
    </cfRule>
    <cfRule type="cellIs" dxfId="6950" priority="2038" stopIfTrue="1" operator="between">
      <formula>0</formula>
      <formula>5</formula>
    </cfRule>
    <cfRule type="containsBlanks" dxfId="6949" priority="2039" stopIfTrue="1">
      <formula>LEN(TRIM(E70))=0</formula>
    </cfRule>
  </conditionalFormatting>
  <conditionalFormatting sqref="E71:P71">
    <cfRule type="containsBlanks" dxfId="6948" priority="2026" stopIfTrue="1">
      <formula>LEN(TRIM(E71))=0</formula>
    </cfRule>
    <cfRule type="cellIs" dxfId="6947" priority="2027" stopIfTrue="1" operator="between">
      <formula>80.1</formula>
      <formula>100</formula>
    </cfRule>
    <cfRule type="cellIs" dxfId="6946" priority="2028" stopIfTrue="1" operator="between">
      <formula>35.1</formula>
      <formula>80</formula>
    </cfRule>
    <cfRule type="cellIs" dxfId="6945" priority="2029" stopIfTrue="1" operator="between">
      <formula>14.1</formula>
      <formula>35</formula>
    </cfRule>
    <cfRule type="cellIs" dxfId="6944" priority="2030" stopIfTrue="1" operator="between">
      <formula>5.1</formula>
      <formula>14</formula>
    </cfRule>
    <cfRule type="cellIs" dxfId="6943" priority="2031" stopIfTrue="1" operator="between">
      <formula>0</formula>
      <formula>5</formula>
    </cfRule>
    <cfRule type="containsBlanks" dxfId="6942" priority="2032" stopIfTrue="1">
      <formula>LEN(TRIM(E71))=0</formula>
    </cfRule>
  </conditionalFormatting>
  <conditionalFormatting sqref="E72:G72 I72:P72">
    <cfRule type="containsBlanks" dxfId="6941" priority="2019" stopIfTrue="1">
      <formula>LEN(TRIM(E72))=0</formula>
    </cfRule>
    <cfRule type="cellIs" dxfId="6940" priority="2020" stopIfTrue="1" operator="between">
      <formula>80.1</formula>
      <formula>100</formula>
    </cfRule>
    <cfRule type="cellIs" dxfId="6939" priority="2021" stopIfTrue="1" operator="between">
      <formula>35.1</formula>
      <formula>80</formula>
    </cfRule>
    <cfRule type="cellIs" dxfId="6938" priority="2022" stopIfTrue="1" operator="between">
      <formula>14.1</formula>
      <formula>35</formula>
    </cfRule>
    <cfRule type="cellIs" dxfId="6937" priority="2023" stopIfTrue="1" operator="between">
      <formula>5.1</formula>
      <formula>14</formula>
    </cfRule>
    <cfRule type="cellIs" dxfId="6936" priority="2024" stopIfTrue="1" operator="between">
      <formula>0</formula>
      <formula>5</formula>
    </cfRule>
    <cfRule type="containsBlanks" dxfId="6935" priority="2025" stopIfTrue="1">
      <formula>LEN(TRIM(E72))=0</formula>
    </cfRule>
  </conditionalFormatting>
  <conditionalFormatting sqref="E74:P74">
    <cfRule type="containsBlanks" dxfId="6934" priority="2012" stopIfTrue="1">
      <formula>LEN(TRIM(E74))=0</formula>
    </cfRule>
    <cfRule type="cellIs" dxfId="6933" priority="2013" stopIfTrue="1" operator="between">
      <formula>80.1</formula>
      <formula>100</formula>
    </cfRule>
    <cfRule type="cellIs" dxfId="6932" priority="2014" stopIfTrue="1" operator="between">
      <formula>35.1</formula>
      <formula>80</formula>
    </cfRule>
    <cfRule type="cellIs" dxfId="6931" priority="2015" stopIfTrue="1" operator="between">
      <formula>14.1</formula>
      <formula>35</formula>
    </cfRule>
    <cfRule type="cellIs" dxfId="6930" priority="2016" stopIfTrue="1" operator="between">
      <formula>5.1</formula>
      <formula>14</formula>
    </cfRule>
    <cfRule type="cellIs" dxfId="6929" priority="2017" stopIfTrue="1" operator="between">
      <formula>0</formula>
      <formula>5</formula>
    </cfRule>
    <cfRule type="containsBlanks" dxfId="6928" priority="2018" stopIfTrue="1">
      <formula>LEN(TRIM(E74))=0</formula>
    </cfRule>
  </conditionalFormatting>
  <conditionalFormatting sqref="E76:P77">
    <cfRule type="containsBlanks" dxfId="6927" priority="2005" stopIfTrue="1">
      <formula>LEN(TRIM(E76))=0</formula>
    </cfRule>
    <cfRule type="cellIs" dxfId="6926" priority="2006" stopIfTrue="1" operator="between">
      <formula>80.1</formula>
      <formula>100</formula>
    </cfRule>
    <cfRule type="cellIs" dxfId="6925" priority="2007" stopIfTrue="1" operator="between">
      <formula>35.1</formula>
      <formula>80</formula>
    </cfRule>
    <cfRule type="cellIs" dxfId="6924" priority="2008" stopIfTrue="1" operator="between">
      <formula>14.1</formula>
      <formula>35</formula>
    </cfRule>
    <cfRule type="cellIs" dxfId="6923" priority="2009" stopIfTrue="1" operator="between">
      <formula>5.1</formula>
      <formula>14</formula>
    </cfRule>
    <cfRule type="cellIs" dxfId="6922" priority="2010" stopIfTrue="1" operator="between">
      <formula>0</formula>
      <formula>5</formula>
    </cfRule>
    <cfRule type="containsBlanks" dxfId="6921" priority="2011" stopIfTrue="1">
      <formula>LEN(TRIM(E76))=0</formula>
    </cfRule>
  </conditionalFormatting>
  <conditionalFormatting sqref="E78:P82">
    <cfRule type="containsBlanks" dxfId="6920" priority="1998" stopIfTrue="1">
      <formula>LEN(TRIM(E78))=0</formula>
    </cfRule>
    <cfRule type="cellIs" dxfId="6919" priority="1999" stopIfTrue="1" operator="between">
      <formula>80.1</formula>
      <formula>100</formula>
    </cfRule>
    <cfRule type="cellIs" dxfId="6918" priority="2000" stopIfTrue="1" operator="between">
      <formula>35.1</formula>
      <formula>80</formula>
    </cfRule>
    <cfRule type="cellIs" dxfId="6917" priority="2001" stopIfTrue="1" operator="between">
      <formula>14.1</formula>
      <formula>35</formula>
    </cfRule>
    <cfRule type="cellIs" dxfId="6916" priority="2002" stopIfTrue="1" operator="between">
      <formula>5.1</formula>
      <formula>14</formula>
    </cfRule>
    <cfRule type="cellIs" dxfId="6915" priority="2003" stopIfTrue="1" operator="between">
      <formula>0</formula>
      <formula>5</formula>
    </cfRule>
    <cfRule type="containsBlanks" dxfId="6914" priority="2004" stopIfTrue="1">
      <formula>LEN(TRIM(E78))=0</formula>
    </cfRule>
  </conditionalFormatting>
  <conditionalFormatting sqref="E83:P84">
    <cfRule type="containsBlanks" dxfId="6913" priority="1991" stopIfTrue="1">
      <formula>LEN(TRIM(E83))=0</formula>
    </cfRule>
    <cfRule type="cellIs" dxfId="6912" priority="1992" stopIfTrue="1" operator="between">
      <formula>80.1</formula>
      <formula>100</formula>
    </cfRule>
    <cfRule type="cellIs" dxfId="6911" priority="1993" stopIfTrue="1" operator="between">
      <formula>35.1</formula>
      <formula>80</formula>
    </cfRule>
    <cfRule type="cellIs" dxfId="6910" priority="1994" stopIfTrue="1" operator="between">
      <formula>14.1</formula>
      <formula>35</formula>
    </cfRule>
    <cfRule type="cellIs" dxfId="6909" priority="1995" stopIfTrue="1" operator="between">
      <formula>5.1</formula>
      <formula>14</formula>
    </cfRule>
    <cfRule type="cellIs" dxfId="6908" priority="1996" stopIfTrue="1" operator="between">
      <formula>0</formula>
      <formula>5</formula>
    </cfRule>
    <cfRule type="containsBlanks" dxfId="6907" priority="1997" stopIfTrue="1">
      <formula>LEN(TRIM(E83))=0</formula>
    </cfRule>
  </conditionalFormatting>
  <conditionalFormatting sqref="O88:P88 E88:M88 E86:P87">
    <cfRule type="containsBlanks" dxfId="6906" priority="1984" stopIfTrue="1">
      <formula>LEN(TRIM(E86))=0</formula>
    </cfRule>
    <cfRule type="cellIs" dxfId="6905" priority="1985" stopIfTrue="1" operator="between">
      <formula>80.1</formula>
      <formula>100</formula>
    </cfRule>
    <cfRule type="cellIs" dxfId="6904" priority="1986" stopIfTrue="1" operator="between">
      <formula>35.1</formula>
      <formula>80</formula>
    </cfRule>
    <cfRule type="cellIs" dxfId="6903" priority="1987" stopIfTrue="1" operator="between">
      <formula>14.1</formula>
      <formula>35</formula>
    </cfRule>
    <cfRule type="cellIs" dxfId="6902" priority="1988" stopIfTrue="1" operator="between">
      <formula>5.1</formula>
      <formula>14</formula>
    </cfRule>
    <cfRule type="cellIs" dxfId="6901" priority="1989" stopIfTrue="1" operator="between">
      <formula>0</formula>
      <formula>5</formula>
    </cfRule>
    <cfRule type="containsBlanks" dxfId="6900" priority="1990" stopIfTrue="1">
      <formula>LEN(TRIM(E86))=0</formula>
    </cfRule>
  </conditionalFormatting>
  <conditionalFormatting sqref="O90:P90 E90:M90">
    <cfRule type="containsBlanks" dxfId="6899" priority="1977" stopIfTrue="1">
      <formula>LEN(TRIM(E90))=0</formula>
    </cfRule>
    <cfRule type="cellIs" dxfId="6898" priority="1978" stopIfTrue="1" operator="between">
      <formula>80.1</formula>
      <formula>100</formula>
    </cfRule>
    <cfRule type="cellIs" dxfId="6897" priority="1979" stopIfTrue="1" operator="between">
      <formula>35.1</formula>
      <formula>80</formula>
    </cfRule>
    <cfRule type="cellIs" dxfId="6896" priority="1980" stopIfTrue="1" operator="between">
      <formula>14.1</formula>
      <formula>35</formula>
    </cfRule>
    <cfRule type="cellIs" dxfId="6895" priority="1981" stopIfTrue="1" operator="between">
      <formula>5.1</formula>
      <formula>14</formula>
    </cfRule>
    <cfRule type="cellIs" dxfId="6894" priority="1982" stopIfTrue="1" operator="between">
      <formula>0</formula>
      <formula>5</formula>
    </cfRule>
    <cfRule type="containsBlanks" dxfId="6893" priority="1983" stopIfTrue="1">
      <formula>LEN(TRIM(E90))=0</formula>
    </cfRule>
  </conditionalFormatting>
  <conditionalFormatting sqref="E94:P94">
    <cfRule type="containsBlanks" dxfId="6892" priority="1956" stopIfTrue="1">
      <formula>LEN(TRIM(E94))=0</formula>
    </cfRule>
    <cfRule type="cellIs" dxfId="6891" priority="1957" stopIfTrue="1" operator="between">
      <formula>80.1</formula>
      <formula>100</formula>
    </cfRule>
    <cfRule type="cellIs" dxfId="6890" priority="1958" stopIfTrue="1" operator="between">
      <formula>35.1</formula>
      <formula>80</formula>
    </cfRule>
    <cfRule type="cellIs" dxfId="6889" priority="1959" stopIfTrue="1" operator="between">
      <formula>14.1</formula>
      <formula>35</formula>
    </cfRule>
    <cfRule type="cellIs" dxfId="6888" priority="1960" stopIfTrue="1" operator="between">
      <formula>5.1</formula>
      <formula>14</formula>
    </cfRule>
    <cfRule type="cellIs" dxfId="6887" priority="1961" stopIfTrue="1" operator="between">
      <formula>0</formula>
      <formula>5</formula>
    </cfRule>
    <cfRule type="containsBlanks" dxfId="6886" priority="1962" stopIfTrue="1">
      <formula>LEN(TRIM(E94))=0</formula>
    </cfRule>
  </conditionalFormatting>
  <conditionalFormatting sqref="E95:P95">
    <cfRule type="containsBlanks" dxfId="6885" priority="1949" stopIfTrue="1">
      <formula>LEN(TRIM(E95))=0</formula>
    </cfRule>
    <cfRule type="cellIs" dxfId="6884" priority="1950" stopIfTrue="1" operator="between">
      <formula>80.1</formula>
      <formula>100</formula>
    </cfRule>
    <cfRule type="cellIs" dxfId="6883" priority="1951" stopIfTrue="1" operator="between">
      <formula>35.1</formula>
      <formula>80</formula>
    </cfRule>
    <cfRule type="cellIs" dxfId="6882" priority="1952" stopIfTrue="1" operator="between">
      <formula>14.1</formula>
      <formula>35</formula>
    </cfRule>
    <cfRule type="cellIs" dxfId="6881" priority="1953" stopIfTrue="1" operator="between">
      <formula>5.1</formula>
      <formula>14</formula>
    </cfRule>
    <cfRule type="cellIs" dxfId="6880" priority="1954" stopIfTrue="1" operator="between">
      <formula>0</formula>
      <formula>5</formula>
    </cfRule>
    <cfRule type="containsBlanks" dxfId="6879" priority="1955" stopIfTrue="1">
      <formula>LEN(TRIM(E95))=0</formula>
    </cfRule>
  </conditionalFormatting>
  <conditionalFormatting sqref="O99:P99 E99:M99">
    <cfRule type="containsBlanks" dxfId="6878" priority="1942" stopIfTrue="1">
      <formula>LEN(TRIM(E99))=0</formula>
    </cfRule>
    <cfRule type="cellIs" dxfId="6877" priority="1943" stopIfTrue="1" operator="between">
      <formula>80.1</formula>
      <formula>100</formula>
    </cfRule>
    <cfRule type="cellIs" dxfId="6876" priority="1944" stopIfTrue="1" operator="between">
      <formula>35.1</formula>
      <formula>80</formula>
    </cfRule>
    <cfRule type="cellIs" dxfId="6875" priority="1945" stopIfTrue="1" operator="between">
      <formula>14.1</formula>
      <formula>35</formula>
    </cfRule>
    <cfRule type="cellIs" dxfId="6874" priority="1946" stopIfTrue="1" operator="between">
      <formula>5.1</formula>
      <formula>14</formula>
    </cfRule>
    <cfRule type="cellIs" dxfId="6873" priority="1947" stopIfTrue="1" operator="between">
      <formula>0</formula>
      <formula>5</formula>
    </cfRule>
    <cfRule type="containsBlanks" dxfId="6872" priority="1948" stopIfTrue="1">
      <formula>LEN(TRIM(E99))=0</formula>
    </cfRule>
  </conditionalFormatting>
  <conditionalFormatting sqref="R99">
    <cfRule type="cellIs" dxfId="6871" priority="1941" stopIfTrue="1" operator="equal">
      <formula>"NO"</formula>
    </cfRule>
  </conditionalFormatting>
  <conditionalFormatting sqref="S99">
    <cfRule type="cellIs" dxfId="6870" priority="1940" stopIfTrue="1" operator="equal">
      <formula>"INVIABLE SANITARIAMENTE"</formula>
    </cfRule>
  </conditionalFormatting>
  <conditionalFormatting sqref="Q99">
    <cfRule type="containsBlanks" dxfId="6869" priority="1933" stopIfTrue="1">
      <formula>LEN(TRIM(Q99))=0</formula>
    </cfRule>
    <cfRule type="cellIs" dxfId="6868" priority="1934" stopIfTrue="1" operator="between">
      <formula>80.1</formula>
      <formula>100</formula>
    </cfRule>
    <cfRule type="cellIs" dxfId="6867" priority="1935" stopIfTrue="1" operator="between">
      <formula>35.1</formula>
      <formula>80</formula>
    </cfRule>
    <cfRule type="cellIs" dxfId="6866" priority="1936" stopIfTrue="1" operator="between">
      <formula>14.1</formula>
      <formula>35</formula>
    </cfRule>
    <cfRule type="cellIs" dxfId="6865" priority="1937" stopIfTrue="1" operator="between">
      <formula>5.1</formula>
      <formula>14</formula>
    </cfRule>
    <cfRule type="cellIs" dxfId="6864" priority="1938" stopIfTrue="1" operator="between">
      <formula>0</formula>
      <formula>5</formula>
    </cfRule>
    <cfRule type="containsBlanks" dxfId="6863" priority="1939" stopIfTrue="1">
      <formula>LEN(TRIM(Q99))=0</formula>
    </cfRule>
  </conditionalFormatting>
  <conditionalFormatting sqref="S99">
    <cfRule type="containsText" dxfId="6862" priority="1928" stopIfTrue="1" operator="containsText" text="INVIABLE SANITARIAMENTE">
      <formula>NOT(ISERROR(SEARCH("INVIABLE SANITARIAMENTE",S99)))</formula>
    </cfRule>
    <cfRule type="containsText" dxfId="6861" priority="1929" stopIfTrue="1" operator="containsText" text="ALTO">
      <formula>NOT(ISERROR(SEARCH("ALTO",S99)))</formula>
    </cfRule>
    <cfRule type="containsText" dxfId="6860" priority="1930" stopIfTrue="1" operator="containsText" text="MEDIO">
      <formula>NOT(ISERROR(SEARCH("MEDIO",S99)))</formula>
    </cfRule>
    <cfRule type="containsText" dxfId="6859" priority="1931" stopIfTrue="1" operator="containsText" text="BAJO">
      <formula>NOT(ISERROR(SEARCH("BAJO",S99)))</formula>
    </cfRule>
    <cfRule type="containsText" dxfId="6858" priority="1932" stopIfTrue="1" operator="containsText" text="SIN RIESGO">
      <formula>NOT(ISERROR(SEARCH("SIN RIESGO",S99)))</formula>
    </cfRule>
  </conditionalFormatting>
  <conditionalFormatting sqref="S99">
    <cfRule type="containsText" dxfId="6857" priority="1927" stopIfTrue="1" operator="containsText" text="SIN RIESGO">
      <formula>NOT(ISERROR(SEARCH("SIN RIESGO",S99)))</formula>
    </cfRule>
  </conditionalFormatting>
  <conditionalFormatting sqref="O100:Q100 M100">
    <cfRule type="containsBlanks" dxfId="6856" priority="1920" stopIfTrue="1">
      <formula>LEN(TRIM(M100))=0</formula>
    </cfRule>
    <cfRule type="cellIs" dxfId="6855" priority="1921" stopIfTrue="1" operator="between">
      <formula>80.1</formula>
      <formula>100</formula>
    </cfRule>
    <cfRule type="cellIs" dxfId="6854" priority="1922" stopIfTrue="1" operator="between">
      <formula>35.1</formula>
      <formula>80</formula>
    </cfRule>
    <cfRule type="cellIs" dxfId="6853" priority="1923" stopIfTrue="1" operator="between">
      <formula>14.1</formula>
      <formula>35</formula>
    </cfRule>
    <cfRule type="cellIs" dxfId="6852" priority="1924" stopIfTrue="1" operator="between">
      <formula>5.1</formula>
      <formula>14</formula>
    </cfRule>
    <cfRule type="cellIs" dxfId="6851" priority="1925" stopIfTrue="1" operator="between">
      <formula>0</formula>
      <formula>5</formula>
    </cfRule>
    <cfRule type="containsBlanks" dxfId="6850" priority="1926" stopIfTrue="1">
      <formula>LEN(TRIM(M100))=0</formula>
    </cfRule>
  </conditionalFormatting>
  <conditionalFormatting sqref="R100">
    <cfRule type="cellIs" dxfId="6849" priority="1919" stopIfTrue="1" operator="equal">
      <formula>"NO"</formula>
    </cfRule>
  </conditionalFormatting>
  <conditionalFormatting sqref="S100">
    <cfRule type="cellIs" dxfId="6848" priority="1918" stopIfTrue="1" operator="equal">
      <formula>"INVIABLE SANITARIAMENTE"</formula>
    </cfRule>
  </conditionalFormatting>
  <conditionalFormatting sqref="E100:L100">
    <cfRule type="containsBlanks" dxfId="6847" priority="1911" stopIfTrue="1">
      <formula>LEN(TRIM(E100))=0</formula>
    </cfRule>
    <cfRule type="cellIs" dxfId="6846" priority="1912" stopIfTrue="1" operator="between">
      <formula>80.1</formula>
      <formula>100</formula>
    </cfRule>
    <cfRule type="cellIs" dxfId="6845" priority="1913" stopIfTrue="1" operator="between">
      <formula>35.1</formula>
      <formula>80</formula>
    </cfRule>
    <cfRule type="cellIs" dxfId="6844" priority="1914" stopIfTrue="1" operator="between">
      <formula>14.1</formula>
      <formula>35</formula>
    </cfRule>
    <cfRule type="cellIs" dxfId="6843" priority="1915" stopIfTrue="1" operator="between">
      <formula>5.1</formula>
      <formula>14</formula>
    </cfRule>
    <cfRule type="cellIs" dxfId="6842" priority="1916" stopIfTrue="1" operator="between">
      <formula>0</formula>
      <formula>5</formula>
    </cfRule>
    <cfRule type="containsBlanks" dxfId="6841" priority="1917" stopIfTrue="1">
      <formula>LEN(TRIM(E100))=0</formula>
    </cfRule>
  </conditionalFormatting>
  <conditionalFormatting sqref="S100">
    <cfRule type="containsText" dxfId="6840" priority="1906" stopIfTrue="1" operator="containsText" text="INVIABLE SANITARIAMENTE">
      <formula>NOT(ISERROR(SEARCH("INVIABLE SANITARIAMENTE",S100)))</formula>
    </cfRule>
    <cfRule type="containsText" dxfId="6839" priority="1907" stopIfTrue="1" operator="containsText" text="ALTO">
      <formula>NOT(ISERROR(SEARCH("ALTO",S100)))</formula>
    </cfRule>
    <cfRule type="containsText" dxfId="6838" priority="1908" stopIfTrue="1" operator="containsText" text="MEDIO">
      <formula>NOT(ISERROR(SEARCH("MEDIO",S100)))</formula>
    </cfRule>
    <cfRule type="containsText" dxfId="6837" priority="1909" stopIfTrue="1" operator="containsText" text="BAJO">
      <formula>NOT(ISERROR(SEARCH("BAJO",S100)))</formula>
    </cfRule>
    <cfRule type="containsText" dxfId="6836" priority="1910" stopIfTrue="1" operator="containsText" text="SIN RIESGO">
      <formula>NOT(ISERROR(SEARCH("SIN RIESGO",S100)))</formula>
    </cfRule>
  </conditionalFormatting>
  <conditionalFormatting sqref="S100">
    <cfRule type="containsText" dxfId="6835" priority="1905" stopIfTrue="1" operator="containsText" text="SIN RIESGO">
      <formula>NOT(ISERROR(SEARCH("SIN RIESGO",S100)))</formula>
    </cfRule>
  </conditionalFormatting>
  <conditionalFormatting sqref="N99">
    <cfRule type="containsBlanks" dxfId="6834" priority="1898" stopIfTrue="1">
      <formula>LEN(TRIM(N99))=0</formula>
    </cfRule>
    <cfRule type="cellIs" dxfId="6833" priority="1899" stopIfTrue="1" operator="between">
      <formula>80.1</formula>
      <formula>100</formula>
    </cfRule>
    <cfRule type="cellIs" dxfId="6832" priority="1900" stopIfTrue="1" operator="between">
      <formula>35.1</formula>
      <formula>80</formula>
    </cfRule>
    <cfRule type="cellIs" dxfId="6831" priority="1901" stopIfTrue="1" operator="between">
      <formula>14.1</formula>
      <formula>35</formula>
    </cfRule>
    <cfRule type="cellIs" dxfId="6830" priority="1902" stopIfTrue="1" operator="between">
      <formula>5.1</formula>
      <formula>14</formula>
    </cfRule>
    <cfRule type="cellIs" dxfId="6829" priority="1903" stopIfTrue="1" operator="between">
      <formula>0</formula>
      <formula>5</formula>
    </cfRule>
    <cfRule type="containsBlanks" dxfId="6828" priority="1904" stopIfTrue="1">
      <formula>LEN(TRIM(N99))=0</formula>
    </cfRule>
  </conditionalFormatting>
  <conditionalFormatting sqref="N100">
    <cfRule type="containsBlanks" dxfId="6827" priority="1891" stopIfTrue="1">
      <formula>LEN(TRIM(N100))=0</formula>
    </cfRule>
    <cfRule type="cellIs" dxfId="6826" priority="1892" stopIfTrue="1" operator="between">
      <formula>80.1</formula>
      <formula>100</formula>
    </cfRule>
    <cfRule type="cellIs" dxfId="6825" priority="1893" stopIfTrue="1" operator="between">
      <formula>35.1</formula>
      <formula>80</formula>
    </cfRule>
    <cfRule type="cellIs" dxfId="6824" priority="1894" stopIfTrue="1" operator="between">
      <formula>14.1</formula>
      <formula>35</formula>
    </cfRule>
    <cfRule type="cellIs" dxfId="6823" priority="1895" stopIfTrue="1" operator="between">
      <formula>5.1</formula>
      <formula>14</formula>
    </cfRule>
    <cfRule type="cellIs" dxfId="6822" priority="1896" stopIfTrue="1" operator="between">
      <formula>0</formula>
      <formula>5</formula>
    </cfRule>
    <cfRule type="containsBlanks" dxfId="6821" priority="1897" stopIfTrue="1">
      <formula>LEN(TRIM(N100))=0</formula>
    </cfRule>
  </conditionalFormatting>
  <conditionalFormatting sqref="O91:P91 M91">
    <cfRule type="containsBlanks" dxfId="6820" priority="1884" stopIfTrue="1">
      <formula>LEN(TRIM(M91))=0</formula>
    </cfRule>
    <cfRule type="cellIs" dxfId="6819" priority="1885" stopIfTrue="1" operator="between">
      <formula>80.1</formula>
      <formula>100</formula>
    </cfRule>
    <cfRule type="cellIs" dxfId="6818" priority="1886" stopIfTrue="1" operator="between">
      <formula>35.1</formula>
      <formula>80</formula>
    </cfRule>
    <cfRule type="cellIs" dxfId="6817" priority="1887" stopIfTrue="1" operator="between">
      <formula>14.1</formula>
      <formula>35</formula>
    </cfRule>
    <cfRule type="cellIs" dxfId="6816" priority="1888" stopIfTrue="1" operator="between">
      <formula>5.1</formula>
      <formula>14</formula>
    </cfRule>
    <cfRule type="cellIs" dxfId="6815" priority="1889" stopIfTrue="1" operator="between">
      <formula>0</formula>
      <formula>5</formula>
    </cfRule>
    <cfRule type="containsBlanks" dxfId="6814" priority="1890" stopIfTrue="1">
      <formula>LEN(TRIM(M91))=0</formula>
    </cfRule>
  </conditionalFormatting>
  <conditionalFormatting sqref="E91:L91">
    <cfRule type="containsBlanks" dxfId="6813" priority="1877" stopIfTrue="1">
      <formula>LEN(TRIM(E91))=0</formula>
    </cfRule>
    <cfRule type="cellIs" dxfId="6812" priority="1878" stopIfTrue="1" operator="between">
      <formula>80.1</formula>
      <formula>100</formula>
    </cfRule>
    <cfRule type="cellIs" dxfId="6811" priority="1879" stopIfTrue="1" operator="between">
      <formula>35.1</formula>
      <formula>80</formula>
    </cfRule>
    <cfRule type="cellIs" dxfId="6810" priority="1880" stopIfTrue="1" operator="between">
      <formula>14.1</formula>
      <formula>35</formula>
    </cfRule>
    <cfRule type="cellIs" dxfId="6809" priority="1881" stopIfTrue="1" operator="between">
      <formula>5.1</formula>
      <formula>14</formula>
    </cfRule>
    <cfRule type="cellIs" dxfId="6808" priority="1882" stopIfTrue="1" operator="between">
      <formula>0</formula>
      <formula>5</formula>
    </cfRule>
    <cfRule type="containsBlanks" dxfId="6807" priority="1883" stopIfTrue="1">
      <formula>LEN(TRIM(E91))=0</formula>
    </cfRule>
  </conditionalFormatting>
  <conditionalFormatting sqref="E113:G113 I113:N113 P113">
    <cfRule type="containsBlanks" dxfId="6806" priority="1870" stopIfTrue="1">
      <formula>LEN(TRIM(E113))=0</formula>
    </cfRule>
    <cfRule type="cellIs" dxfId="6805" priority="1871" stopIfTrue="1" operator="between">
      <formula>80.1</formula>
      <formula>100</formula>
    </cfRule>
    <cfRule type="cellIs" dxfId="6804" priority="1872" stopIfTrue="1" operator="between">
      <formula>35.1</formula>
      <formula>80</formula>
    </cfRule>
    <cfRule type="cellIs" dxfId="6803" priority="1873" stopIfTrue="1" operator="between">
      <formula>14.1</formula>
      <formula>35</formula>
    </cfRule>
    <cfRule type="cellIs" dxfId="6802" priority="1874" stopIfTrue="1" operator="between">
      <formula>5.1</formula>
      <formula>14</formula>
    </cfRule>
    <cfRule type="cellIs" dxfId="6801" priority="1875" stopIfTrue="1" operator="between">
      <formula>0</formula>
      <formula>5</formula>
    </cfRule>
    <cfRule type="containsBlanks" dxfId="6800" priority="1876" stopIfTrue="1">
      <formula>LEN(TRIM(E113))=0</formula>
    </cfRule>
  </conditionalFormatting>
  <conditionalFormatting sqref="H113">
    <cfRule type="containsBlanks" dxfId="6799" priority="1863" stopIfTrue="1">
      <formula>LEN(TRIM(H113))=0</formula>
    </cfRule>
    <cfRule type="cellIs" dxfId="6798" priority="1864" stopIfTrue="1" operator="between">
      <formula>80.1</formula>
      <formula>100</formula>
    </cfRule>
    <cfRule type="cellIs" dxfId="6797" priority="1865" stopIfTrue="1" operator="between">
      <formula>35.1</formula>
      <formula>80</formula>
    </cfRule>
    <cfRule type="cellIs" dxfId="6796" priority="1866" stopIfTrue="1" operator="between">
      <formula>14.1</formula>
      <formula>35</formula>
    </cfRule>
    <cfRule type="cellIs" dxfId="6795" priority="1867" stopIfTrue="1" operator="between">
      <formula>5.1</formula>
      <formula>14</formula>
    </cfRule>
    <cfRule type="cellIs" dxfId="6794" priority="1868" stopIfTrue="1" operator="between">
      <formula>0</formula>
      <formula>5</formula>
    </cfRule>
    <cfRule type="containsBlanks" dxfId="6793" priority="1869" stopIfTrue="1">
      <formula>LEN(TRIM(H113))=0</formula>
    </cfRule>
  </conditionalFormatting>
  <conditionalFormatting sqref="O113">
    <cfRule type="containsBlanks" dxfId="6792" priority="1856" stopIfTrue="1">
      <formula>LEN(TRIM(O113))=0</formula>
    </cfRule>
    <cfRule type="cellIs" dxfId="6791" priority="1857" stopIfTrue="1" operator="between">
      <formula>80.1</formula>
      <formula>100</formula>
    </cfRule>
    <cfRule type="cellIs" dxfId="6790" priority="1858" stopIfTrue="1" operator="between">
      <formula>35.1</formula>
      <formula>80</formula>
    </cfRule>
    <cfRule type="cellIs" dxfId="6789" priority="1859" stopIfTrue="1" operator="between">
      <formula>14.1</formula>
      <formula>35</formula>
    </cfRule>
    <cfRule type="cellIs" dxfId="6788" priority="1860" stopIfTrue="1" operator="between">
      <formula>5.1</formula>
      <formula>14</formula>
    </cfRule>
    <cfRule type="cellIs" dxfId="6787" priority="1861" stopIfTrue="1" operator="between">
      <formula>0</formula>
      <formula>5</formula>
    </cfRule>
    <cfRule type="containsBlanks" dxfId="6786" priority="1862" stopIfTrue="1">
      <formula>LEN(TRIM(O113))=0</formula>
    </cfRule>
  </conditionalFormatting>
  <conditionalFormatting sqref="E114:F114 H114:K114 M114:P114">
    <cfRule type="containsBlanks" dxfId="6785" priority="1849" stopIfTrue="1">
      <formula>LEN(TRIM(E114))=0</formula>
    </cfRule>
    <cfRule type="cellIs" dxfId="6784" priority="1850" stopIfTrue="1" operator="between">
      <formula>80.1</formula>
      <formula>100</formula>
    </cfRule>
    <cfRule type="cellIs" dxfId="6783" priority="1851" stopIfTrue="1" operator="between">
      <formula>35.1</formula>
      <formula>80</formula>
    </cfRule>
    <cfRule type="cellIs" dxfId="6782" priority="1852" stopIfTrue="1" operator="between">
      <formula>14.1</formula>
      <formula>35</formula>
    </cfRule>
    <cfRule type="cellIs" dxfId="6781" priority="1853" stopIfTrue="1" operator="between">
      <formula>5.1</formula>
      <formula>14</formula>
    </cfRule>
    <cfRule type="cellIs" dxfId="6780" priority="1854" stopIfTrue="1" operator="between">
      <formula>0</formula>
      <formula>5</formula>
    </cfRule>
    <cfRule type="containsBlanks" dxfId="6779" priority="1855" stopIfTrue="1">
      <formula>LEN(TRIM(E114))=0</formula>
    </cfRule>
  </conditionalFormatting>
  <conditionalFormatting sqref="G114">
    <cfRule type="containsBlanks" dxfId="6778" priority="1842" stopIfTrue="1">
      <formula>LEN(TRIM(G114))=0</formula>
    </cfRule>
    <cfRule type="cellIs" dxfId="6777" priority="1843" stopIfTrue="1" operator="between">
      <formula>80.1</formula>
      <formula>100</formula>
    </cfRule>
    <cfRule type="cellIs" dxfId="6776" priority="1844" stopIfTrue="1" operator="between">
      <formula>35.1</formula>
      <formula>80</formula>
    </cfRule>
    <cfRule type="cellIs" dxfId="6775" priority="1845" stopIfTrue="1" operator="between">
      <formula>14.1</formula>
      <formula>35</formula>
    </cfRule>
    <cfRule type="cellIs" dxfId="6774" priority="1846" stopIfTrue="1" operator="between">
      <formula>5.1</formula>
      <formula>14</formula>
    </cfRule>
    <cfRule type="cellIs" dxfId="6773" priority="1847" stopIfTrue="1" operator="between">
      <formula>0</formula>
      <formula>5</formula>
    </cfRule>
    <cfRule type="containsBlanks" dxfId="6772" priority="1848" stopIfTrue="1">
      <formula>LEN(TRIM(G114))=0</formula>
    </cfRule>
  </conditionalFormatting>
  <conditionalFormatting sqref="L114">
    <cfRule type="containsBlanks" dxfId="6771" priority="1835" stopIfTrue="1">
      <formula>LEN(TRIM(L114))=0</formula>
    </cfRule>
    <cfRule type="cellIs" dxfId="6770" priority="1836" stopIfTrue="1" operator="between">
      <formula>80.1</formula>
      <formula>100</formula>
    </cfRule>
    <cfRule type="cellIs" dxfId="6769" priority="1837" stopIfTrue="1" operator="between">
      <formula>35.1</formula>
      <formula>80</formula>
    </cfRule>
    <cfRule type="cellIs" dxfId="6768" priority="1838" stopIfTrue="1" operator="between">
      <formula>14.1</formula>
      <formula>35</formula>
    </cfRule>
    <cfRule type="cellIs" dxfId="6767" priority="1839" stopIfTrue="1" operator="between">
      <formula>5.1</formula>
      <formula>14</formula>
    </cfRule>
    <cfRule type="cellIs" dxfId="6766" priority="1840" stopIfTrue="1" operator="between">
      <formula>0</formula>
      <formula>5</formula>
    </cfRule>
    <cfRule type="containsBlanks" dxfId="6765" priority="1841" stopIfTrue="1">
      <formula>LEN(TRIM(L114))=0</formula>
    </cfRule>
  </conditionalFormatting>
  <conditionalFormatting sqref="E115:G115 I115:M115 O115:P115">
    <cfRule type="containsBlanks" dxfId="6764" priority="1828" stopIfTrue="1">
      <formula>LEN(TRIM(E115))=0</formula>
    </cfRule>
    <cfRule type="cellIs" dxfId="6763" priority="1829" stopIfTrue="1" operator="between">
      <formula>80.1</formula>
      <formula>100</formula>
    </cfRule>
    <cfRule type="cellIs" dxfId="6762" priority="1830" stopIfTrue="1" operator="between">
      <formula>35.1</formula>
      <formula>80</formula>
    </cfRule>
    <cfRule type="cellIs" dxfId="6761" priority="1831" stopIfTrue="1" operator="between">
      <formula>14.1</formula>
      <formula>35</formula>
    </cfRule>
    <cfRule type="cellIs" dxfId="6760" priority="1832" stopIfTrue="1" operator="between">
      <formula>5.1</formula>
      <formula>14</formula>
    </cfRule>
    <cfRule type="cellIs" dxfId="6759" priority="1833" stopIfTrue="1" operator="between">
      <formula>0</formula>
      <formula>5</formula>
    </cfRule>
    <cfRule type="containsBlanks" dxfId="6758" priority="1834" stopIfTrue="1">
      <formula>LEN(TRIM(E115))=0</formula>
    </cfRule>
  </conditionalFormatting>
  <conditionalFormatting sqref="H115">
    <cfRule type="containsBlanks" dxfId="6757" priority="1821" stopIfTrue="1">
      <formula>LEN(TRIM(H115))=0</formula>
    </cfRule>
    <cfRule type="cellIs" dxfId="6756" priority="1822" stopIfTrue="1" operator="between">
      <formula>80.1</formula>
      <formula>100</formula>
    </cfRule>
    <cfRule type="cellIs" dxfId="6755" priority="1823" stopIfTrue="1" operator="between">
      <formula>35.1</formula>
      <formula>80</formula>
    </cfRule>
    <cfRule type="cellIs" dxfId="6754" priority="1824" stopIfTrue="1" operator="between">
      <formula>14.1</formula>
      <formula>35</formula>
    </cfRule>
    <cfRule type="cellIs" dxfId="6753" priority="1825" stopIfTrue="1" operator="between">
      <formula>5.1</formula>
      <formula>14</formula>
    </cfRule>
    <cfRule type="cellIs" dxfId="6752" priority="1826" stopIfTrue="1" operator="between">
      <formula>0</formula>
      <formula>5</formula>
    </cfRule>
    <cfRule type="containsBlanks" dxfId="6751" priority="1827" stopIfTrue="1">
      <formula>LEN(TRIM(H115))=0</formula>
    </cfRule>
  </conditionalFormatting>
  <conditionalFormatting sqref="N115">
    <cfRule type="containsBlanks" dxfId="6750" priority="1814" stopIfTrue="1">
      <formula>LEN(TRIM(N115))=0</formula>
    </cfRule>
    <cfRule type="cellIs" dxfId="6749" priority="1815" stopIfTrue="1" operator="between">
      <formula>80.1</formula>
      <formula>100</formula>
    </cfRule>
    <cfRule type="cellIs" dxfId="6748" priority="1816" stopIfTrue="1" operator="between">
      <formula>35.1</formula>
      <formula>80</formula>
    </cfRule>
    <cfRule type="cellIs" dxfId="6747" priority="1817" stopIfTrue="1" operator="between">
      <formula>14.1</formula>
      <formula>35</formula>
    </cfRule>
    <cfRule type="cellIs" dxfId="6746" priority="1818" stopIfTrue="1" operator="between">
      <formula>5.1</formula>
      <formula>14</formula>
    </cfRule>
    <cfRule type="cellIs" dxfId="6745" priority="1819" stopIfTrue="1" operator="between">
      <formula>0</formula>
      <formula>5</formula>
    </cfRule>
    <cfRule type="containsBlanks" dxfId="6744" priority="1820" stopIfTrue="1">
      <formula>LEN(TRIM(N115))=0</formula>
    </cfRule>
  </conditionalFormatting>
  <conditionalFormatting sqref="E116:P116">
    <cfRule type="containsBlanks" dxfId="6743" priority="1807" stopIfTrue="1">
      <formula>LEN(TRIM(E116))=0</formula>
    </cfRule>
    <cfRule type="cellIs" dxfId="6742" priority="1808" stopIfTrue="1" operator="between">
      <formula>80.1</formula>
      <formula>100</formula>
    </cfRule>
    <cfRule type="cellIs" dxfId="6741" priority="1809" stopIfTrue="1" operator="between">
      <formula>35.1</formula>
      <formula>80</formula>
    </cfRule>
    <cfRule type="cellIs" dxfId="6740" priority="1810" stopIfTrue="1" operator="between">
      <formula>14.1</formula>
      <formula>35</formula>
    </cfRule>
    <cfRule type="cellIs" dxfId="6739" priority="1811" stopIfTrue="1" operator="between">
      <formula>5.1</formula>
      <formula>14</formula>
    </cfRule>
    <cfRule type="cellIs" dxfId="6738" priority="1812" stopIfTrue="1" operator="between">
      <formula>0</formula>
      <formula>5</formula>
    </cfRule>
    <cfRule type="containsBlanks" dxfId="6737" priority="1813" stopIfTrue="1">
      <formula>LEN(TRIM(E116))=0</formula>
    </cfRule>
  </conditionalFormatting>
  <conditionalFormatting sqref="E117:F117 H117:P117">
    <cfRule type="containsBlanks" dxfId="6736" priority="1800" stopIfTrue="1">
      <formula>LEN(TRIM(E117))=0</formula>
    </cfRule>
    <cfRule type="cellIs" dxfId="6735" priority="1801" stopIfTrue="1" operator="between">
      <formula>80.1</formula>
      <formula>100</formula>
    </cfRule>
    <cfRule type="cellIs" dxfId="6734" priority="1802" stopIfTrue="1" operator="between">
      <formula>35.1</formula>
      <formula>80</formula>
    </cfRule>
    <cfRule type="cellIs" dxfId="6733" priority="1803" stopIfTrue="1" operator="between">
      <formula>14.1</formula>
      <formula>35</formula>
    </cfRule>
    <cfRule type="cellIs" dxfId="6732" priority="1804" stopIfTrue="1" operator="between">
      <formula>5.1</formula>
      <formula>14</formula>
    </cfRule>
    <cfRule type="cellIs" dxfId="6731" priority="1805" stopIfTrue="1" operator="between">
      <formula>0</formula>
      <formula>5</formula>
    </cfRule>
    <cfRule type="containsBlanks" dxfId="6730" priority="1806" stopIfTrue="1">
      <formula>LEN(TRIM(E117))=0</formula>
    </cfRule>
  </conditionalFormatting>
  <conditionalFormatting sqref="E118:P118">
    <cfRule type="containsBlanks" dxfId="6729" priority="1793" stopIfTrue="1">
      <formula>LEN(TRIM(E118))=0</formula>
    </cfRule>
    <cfRule type="cellIs" dxfId="6728" priority="1794" stopIfTrue="1" operator="between">
      <formula>80.1</formula>
      <formula>100</formula>
    </cfRule>
    <cfRule type="cellIs" dxfId="6727" priority="1795" stopIfTrue="1" operator="between">
      <formula>35.1</formula>
      <formula>80</formula>
    </cfRule>
    <cfRule type="cellIs" dxfId="6726" priority="1796" stopIfTrue="1" operator="between">
      <formula>14.1</formula>
      <formula>35</formula>
    </cfRule>
    <cfRule type="cellIs" dxfId="6725" priority="1797" stopIfTrue="1" operator="between">
      <formula>5.1</formula>
      <formula>14</formula>
    </cfRule>
    <cfRule type="cellIs" dxfId="6724" priority="1798" stopIfTrue="1" operator="between">
      <formula>0</formula>
      <formula>5</formula>
    </cfRule>
    <cfRule type="containsBlanks" dxfId="6723" priority="1799" stopIfTrue="1">
      <formula>LEN(TRIM(E118))=0</formula>
    </cfRule>
  </conditionalFormatting>
  <conditionalFormatting sqref="E119:P119">
    <cfRule type="containsBlanks" dxfId="6722" priority="1786" stopIfTrue="1">
      <formula>LEN(TRIM(E119))=0</formula>
    </cfRule>
    <cfRule type="cellIs" dxfId="6721" priority="1787" stopIfTrue="1" operator="between">
      <formula>80.1</formula>
      <formula>100</formula>
    </cfRule>
    <cfRule type="cellIs" dxfId="6720" priority="1788" stopIfTrue="1" operator="between">
      <formula>35.1</formula>
      <formula>80</formula>
    </cfRule>
    <cfRule type="cellIs" dxfId="6719" priority="1789" stopIfTrue="1" operator="between">
      <formula>14.1</formula>
      <formula>35</formula>
    </cfRule>
    <cfRule type="cellIs" dxfId="6718" priority="1790" stopIfTrue="1" operator="between">
      <formula>5.1</formula>
      <formula>14</formula>
    </cfRule>
    <cfRule type="cellIs" dxfId="6717" priority="1791" stopIfTrue="1" operator="between">
      <formula>0</formula>
      <formula>5</formula>
    </cfRule>
    <cfRule type="containsBlanks" dxfId="6716" priority="1792" stopIfTrue="1">
      <formula>LEN(TRIM(E119))=0</formula>
    </cfRule>
  </conditionalFormatting>
  <conditionalFormatting sqref="E120:P120">
    <cfRule type="containsBlanks" dxfId="6715" priority="1779" stopIfTrue="1">
      <formula>LEN(TRIM(E120))=0</formula>
    </cfRule>
    <cfRule type="cellIs" dxfId="6714" priority="1780" stopIfTrue="1" operator="between">
      <formula>80.1</formula>
      <formula>100</formula>
    </cfRule>
    <cfRule type="cellIs" dxfId="6713" priority="1781" stopIfTrue="1" operator="between">
      <formula>35.1</formula>
      <formula>80</formula>
    </cfRule>
    <cfRule type="cellIs" dxfId="6712" priority="1782" stopIfTrue="1" operator="between">
      <formula>14.1</formula>
      <formula>35</formula>
    </cfRule>
    <cfRule type="cellIs" dxfId="6711" priority="1783" stopIfTrue="1" operator="between">
      <formula>5.1</formula>
      <formula>14</formula>
    </cfRule>
    <cfRule type="cellIs" dxfId="6710" priority="1784" stopIfTrue="1" operator="between">
      <formula>0</formula>
      <formula>5</formula>
    </cfRule>
    <cfRule type="containsBlanks" dxfId="6709" priority="1785" stopIfTrue="1">
      <formula>LEN(TRIM(E120))=0</formula>
    </cfRule>
  </conditionalFormatting>
  <conditionalFormatting sqref="E121:P121">
    <cfRule type="containsBlanks" dxfId="6708" priority="1772" stopIfTrue="1">
      <formula>LEN(TRIM(E121))=0</formula>
    </cfRule>
    <cfRule type="cellIs" dxfId="6707" priority="1773" stopIfTrue="1" operator="between">
      <formula>80.1</formula>
      <formula>100</formula>
    </cfRule>
    <cfRule type="cellIs" dxfId="6706" priority="1774" stopIfTrue="1" operator="between">
      <formula>35.1</formula>
      <formula>80</formula>
    </cfRule>
    <cfRule type="cellIs" dxfId="6705" priority="1775" stopIfTrue="1" operator="between">
      <formula>14.1</formula>
      <formula>35</formula>
    </cfRule>
    <cfRule type="cellIs" dxfId="6704" priority="1776" stopIfTrue="1" operator="between">
      <formula>5.1</formula>
      <formula>14</formula>
    </cfRule>
    <cfRule type="cellIs" dxfId="6703" priority="1777" stopIfTrue="1" operator="between">
      <formula>0</formula>
      <formula>5</formula>
    </cfRule>
    <cfRule type="containsBlanks" dxfId="6702" priority="1778" stopIfTrue="1">
      <formula>LEN(TRIM(E121))=0</formula>
    </cfRule>
  </conditionalFormatting>
  <conditionalFormatting sqref="E122:P122">
    <cfRule type="containsBlanks" dxfId="6701" priority="1765" stopIfTrue="1">
      <formula>LEN(TRIM(E122))=0</formula>
    </cfRule>
    <cfRule type="cellIs" dxfId="6700" priority="1766" stopIfTrue="1" operator="between">
      <formula>80.1</formula>
      <formula>100</formula>
    </cfRule>
    <cfRule type="cellIs" dxfId="6699" priority="1767" stopIfTrue="1" operator="between">
      <formula>35.1</formula>
      <formula>80</formula>
    </cfRule>
    <cfRule type="cellIs" dxfId="6698" priority="1768" stopIfTrue="1" operator="between">
      <formula>14.1</formula>
      <formula>35</formula>
    </cfRule>
    <cfRule type="cellIs" dxfId="6697" priority="1769" stopIfTrue="1" operator="between">
      <formula>5.1</formula>
      <formula>14</formula>
    </cfRule>
    <cfRule type="cellIs" dxfId="6696" priority="1770" stopIfTrue="1" operator="between">
      <formula>0</formula>
      <formula>5</formula>
    </cfRule>
    <cfRule type="containsBlanks" dxfId="6695" priority="1771" stopIfTrue="1">
      <formula>LEN(TRIM(E122))=0</formula>
    </cfRule>
  </conditionalFormatting>
  <conditionalFormatting sqref="E123:P123">
    <cfRule type="containsBlanks" dxfId="6694" priority="1758" stopIfTrue="1">
      <formula>LEN(TRIM(E123))=0</formula>
    </cfRule>
    <cfRule type="cellIs" dxfId="6693" priority="1759" stopIfTrue="1" operator="between">
      <formula>80.1</formula>
      <formula>100</formula>
    </cfRule>
    <cfRule type="cellIs" dxfId="6692" priority="1760" stopIfTrue="1" operator="between">
      <formula>35.1</formula>
      <formula>80</formula>
    </cfRule>
    <cfRule type="cellIs" dxfId="6691" priority="1761" stopIfTrue="1" operator="between">
      <formula>14.1</formula>
      <formula>35</formula>
    </cfRule>
    <cfRule type="cellIs" dxfId="6690" priority="1762" stopIfTrue="1" operator="between">
      <formula>5.1</formula>
      <formula>14</formula>
    </cfRule>
    <cfRule type="cellIs" dxfId="6689" priority="1763" stopIfTrue="1" operator="between">
      <formula>0</formula>
      <formula>5</formula>
    </cfRule>
    <cfRule type="containsBlanks" dxfId="6688" priority="1764" stopIfTrue="1">
      <formula>LEN(TRIM(E123))=0</formula>
    </cfRule>
  </conditionalFormatting>
  <conditionalFormatting sqref="E125:P125">
    <cfRule type="containsBlanks" dxfId="6687" priority="1751" stopIfTrue="1">
      <formula>LEN(TRIM(E125))=0</formula>
    </cfRule>
    <cfRule type="cellIs" dxfId="6686" priority="1752" stopIfTrue="1" operator="between">
      <formula>80.1</formula>
      <formula>100</formula>
    </cfRule>
    <cfRule type="cellIs" dxfId="6685" priority="1753" stopIfTrue="1" operator="between">
      <formula>35.1</formula>
      <formula>80</formula>
    </cfRule>
    <cfRule type="cellIs" dxfId="6684" priority="1754" stopIfTrue="1" operator="between">
      <formula>14.1</formula>
      <formula>35</formula>
    </cfRule>
    <cfRule type="cellIs" dxfId="6683" priority="1755" stopIfTrue="1" operator="between">
      <formula>5.1</formula>
      <formula>14</formula>
    </cfRule>
    <cfRule type="cellIs" dxfId="6682" priority="1756" stopIfTrue="1" operator="between">
      <formula>0</formula>
      <formula>5</formula>
    </cfRule>
    <cfRule type="containsBlanks" dxfId="6681" priority="1757" stopIfTrue="1">
      <formula>LEN(TRIM(E125))=0</formula>
    </cfRule>
  </conditionalFormatting>
  <conditionalFormatting sqref="E126:P126 E127:M127 O127:P127">
    <cfRule type="containsBlanks" dxfId="6680" priority="1744" stopIfTrue="1">
      <formula>LEN(TRIM(E126))=0</formula>
    </cfRule>
    <cfRule type="cellIs" dxfId="6679" priority="1745" stopIfTrue="1" operator="between">
      <formula>80.1</formula>
      <formula>100</formula>
    </cfRule>
    <cfRule type="cellIs" dxfId="6678" priority="1746" stopIfTrue="1" operator="between">
      <formula>35.1</formula>
      <formula>80</formula>
    </cfRule>
    <cfRule type="cellIs" dxfId="6677" priority="1747" stopIfTrue="1" operator="between">
      <formula>14.1</formula>
      <formula>35</formula>
    </cfRule>
    <cfRule type="cellIs" dxfId="6676" priority="1748" stopIfTrue="1" operator="between">
      <formula>5.1</formula>
      <formula>14</formula>
    </cfRule>
    <cfRule type="cellIs" dxfId="6675" priority="1749" stopIfTrue="1" operator="between">
      <formula>0</formula>
      <formula>5</formula>
    </cfRule>
    <cfRule type="containsBlanks" dxfId="6674" priority="1750" stopIfTrue="1">
      <formula>LEN(TRIM(E126))=0</formula>
    </cfRule>
  </conditionalFormatting>
  <conditionalFormatting sqref="N127">
    <cfRule type="containsBlanks" dxfId="6673" priority="1737" stopIfTrue="1">
      <formula>LEN(TRIM(N127))=0</formula>
    </cfRule>
    <cfRule type="cellIs" dxfId="6672" priority="1738" stopIfTrue="1" operator="between">
      <formula>80.1</formula>
      <formula>100</formula>
    </cfRule>
    <cfRule type="cellIs" dxfId="6671" priority="1739" stopIfTrue="1" operator="between">
      <formula>35.1</formula>
      <formula>80</formula>
    </cfRule>
    <cfRule type="cellIs" dxfId="6670" priority="1740" stopIfTrue="1" operator="between">
      <formula>14.1</formula>
      <formula>35</formula>
    </cfRule>
    <cfRule type="cellIs" dxfId="6669" priority="1741" stopIfTrue="1" operator="between">
      <formula>5.1</formula>
      <formula>14</formula>
    </cfRule>
    <cfRule type="cellIs" dxfId="6668" priority="1742" stopIfTrue="1" operator="between">
      <formula>0</formula>
      <formula>5</formula>
    </cfRule>
    <cfRule type="containsBlanks" dxfId="6667" priority="1743" stopIfTrue="1">
      <formula>LEN(TRIM(N127))=0</formula>
    </cfRule>
  </conditionalFormatting>
  <conditionalFormatting sqref="J130:M130 E129:F130 H129:M129 H130 E128:M128 O128:P130">
    <cfRule type="containsBlanks" dxfId="6666" priority="1730" stopIfTrue="1">
      <formula>LEN(TRIM(E128))=0</formula>
    </cfRule>
    <cfRule type="cellIs" dxfId="6665" priority="1731" stopIfTrue="1" operator="between">
      <formula>80.1</formula>
      <formula>100</formula>
    </cfRule>
    <cfRule type="cellIs" dxfId="6664" priority="1732" stopIfTrue="1" operator="between">
      <formula>35.1</formula>
      <formula>80</formula>
    </cfRule>
    <cfRule type="cellIs" dxfId="6663" priority="1733" stopIfTrue="1" operator="between">
      <formula>14.1</formula>
      <formula>35</formula>
    </cfRule>
    <cfRule type="cellIs" dxfId="6662" priority="1734" stopIfTrue="1" operator="between">
      <formula>5.1</formula>
      <formula>14</formula>
    </cfRule>
    <cfRule type="cellIs" dxfId="6661" priority="1735" stopIfTrue="1" operator="between">
      <formula>0</formula>
      <formula>5</formula>
    </cfRule>
    <cfRule type="containsBlanks" dxfId="6660" priority="1736" stopIfTrue="1">
      <formula>LEN(TRIM(E128))=0</formula>
    </cfRule>
  </conditionalFormatting>
  <conditionalFormatting sqref="G129:G130">
    <cfRule type="containsBlanks" dxfId="6659" priority="1723" stopIfTrue="1">
      <formula>LEN(TRIM(G129))=0</formula>
    </cfRule>
    <cfRule type="cellIs" dxfId="6658" priority="1724" stopIfTrue="1" operator="between">
      <formula>80.1</formula>
      <formula>100</formula>
    </cfRule>
    <cfRule type="cellIs" dxfId="6657" priority="1725" stopIfTrue="1" operator="between">
      <formula>35.1</formula>
      <formula>80</formula>
    </cfRule>
    <cfRule type="cellIs" dxfId="6656" priority="1726" stopIfTrue="1" operator="between">
      <formula>14.1</formula>
      <formula>35</formula>
    </cfRule>
    <cfRule type="cellIs" dxfId="6655" priority="1727" stopIfTrue="1" operator="between">
      <formula>5.1</formula>
      <formula>14</formula>
    </cfRule>
    <cfRule type="cellIs" dxfId="6654" priority="1728" stopIfTrue="1" operator="between">
      <formula>0</formula>
      <formula>5</formula>
    </cfRule>
    <cfRule type="containsBlanks" dxfId="6653" priority="1729" stopIfTrue="1">
      <formula>LEN(TRIM(G129))=0</formula>
    </cfRule>
  </conditionalFormatting>
  <conditionalFormatting sqref="N129">
    <cfRule type="containsBlanks" dxfId="6652" priority="1716" stopIfTrue="1">
      <formula>LEN(TRIM(N129))=0</formula>
    </cfRule>
    <cfRule type="cellIs" dxfId="6651" priority="1717" stopIfTrue="1" operator="between">
      <formula>80.1</formula>
      <formula>100</formula>
    </cfRule>
    <cfRule type="cellIs" dxfId="6650" priority="1718" stopIfTrue="1" operator="between">
      <formula>35.1</formula>
      <formula>80</formula>
    </cfRule>
    <cfRule type="cellIs" dxfId="6649" priority="1719" stopIfTrue="1" operator="between">
      <formula>14.1</formula>
      <formula>35</formula>
    </cfRule>
    <cfRule type="cellIs" dxfId="6648" priority="1720" stopIfTrue="1" operator="between">
      <formula>5.1</formula>
      <formula>14</formula>
    </cfRule>
    <cfRule type="cellIs" dxfId="6647" priority="1721" stopIfTrue="1" operator="between">
      <formula>0</formula>
      <formula>5</formula>
    </cfRule>
    <cfRule type="containsBlanks" dxfId="6646" priority="1722" stopIfTrue="1">
      <formula>LEN(TRIM(N129))=0</formula>
    </cfRule>
  </conditionalFormatting>
  <conditionalFormatting sqref="N128">
    <cfRule type="containsBlanks" dxfId="6645" priority="1709" stopIfTrue="1">
      <formula>LEN(TRIM(N128))=0</formula>
    </cfRule>
    <cfRule type="cellIs" dxfId="6644" priority="1710" stopIfTrue="1" operator="between">
      <formula>80.1</formula>
      <formula>100</formula>
    </cfRule>
    <cfRule type="cellIs" dxfId="6643" priority="1711" stopIfTrue="1" operator="between">
      <formula>35.1</formula>
      <formula>80</formula>
    </cfRule>
    <cfRule type="cellIs" dxfId="6642" priority="1712" stopIfTrue="1" operator="between">
      <formula>14.1</formula>
      <formula>35</formula>
    </cfRule>
    <cfRule type="cellIs" dxfId="6641" priority="1713" stopIfTrue="1" operator="between">
      <formula>5.1</formula>
      <formula>14</formula>
    </cfRule>
    <cfRule type="cellIs" dxfId="6640" priority="1714" stopIfTrue="1" operator="between">
      <formula>0</formula>
      <formula>5</formula>
    </cfRule>
    <cfRule type="containsBlanks" dxfId="6639" priority="1715" stopIfTrue="1">
      <formula>LEN(TRIM(N128))=0</formula>
    </cfRule>
  </conditionalFormatting>
  <conditionalFormatting sqref="N130">
    <cfRule type="containsBlanks" dxfId="6638" priority="1702" stopIfTrue="1">
      <formula>LEN(TRIM(N130))=0</formula>
    </cfRule>
    <cfRule type="cellIs" dxfId="6637" priority="1703" stopIfTrue="1" operator="between">
      <formula>80.1</formula>
      <formula>100</formula>
    </cfRule>
    <cfRule type="cellIs" dxfId="6636" priority="1704" stopIfTrue="1" operator="between">
      <formula>35.1</formula>
      <formula>80</formula>
    </cfRule>
    <cfRule type="cellIs" dxfId="6635" priority="1705" stopIfTrue="1" operator="between">
      <formula>14.1</formula>
      <formula>35</formula>
    </cfRule>
    <cfRule type="cellIs" dxfId="6634" priority="1706" stopIfTrue="1" operator="between">
      <formula>5.1</formula>
      <formula>14</formula>
    </cfRule>
    <cfRule type="cellIs" dxfId="6633" priority="1707" stopIfTrue="1" operator="between">
      <formula>0</formula>
      <formula>5</formula>
    </cfRule>
    <cfRule type="containsBlanks" dxfId="6632" priority="1708" stopIfTrue="1">
      <formula>LEN(TRIM(N130))=0</formula>
    </cfRule>
  </conditionalFormatting>
  <conditionalFormatting sqref="E131:G131 I131:K131 M131:P131">
    <cfRule type="containsBlanks" dxfId="6631" priority="1695" stopIfTrue="1">
      <formula>LEN(TRIM(E131))=0</formula>
    </cfRule>
    <cfRule type="cellIs" dxfId="6630" priority="1696" stopIfTrue="1" operator="between">
      <formula>80.1</formula>
      <formula>100</formula>
    </cfRule>
    <cfRule type="cellIs" dxfId="6629" priority="1697" stopIfTrue="1" operator="between">
      <formula>35.1</formula>
      <formula>80</formula>
    </cfRule>
    <cfRule type="cellIs" dxfId="6628" priority="1698" stopIfTrue="1" operator="between">
      <formula>14.1</formula>
      <formula>35</formula>
    </cfRule>
    <cfRule type="cellIs" dxfId="6627" priority="1699" stopIfTrue="1" operator="between">
      <formula>5.1</formula>
      <formula>14</formula>
    </cfRule>
    <cfRule type="cellIs" dxfId="6626" priority="1700" stopIfTrue="1" operator="between">
      <formula>0</formula>
      <formula>5</formula>
    </cfRule>
    <cfRule type="containsBlanks" dxfId="6625" priority="1701" stopIfTrue="1">
      <formula>LEN(TRIM(E131))=0</formula>
    </cfRule>
  </conditionalFormatting>
  <conditionalFormatting sqref="H131">
    <cfRule type="containsBlanks" dxfId="6624" priority="1688" stopIfTrue="1">
      <formula>LEN(TRIM(H131))=0</formula>
    </cfRule>
    <cfRule type="cellIs" dxfId="6623" priority="1689" stopIfTrue="1" operator="between">
      <formula>80.1</formula>
      <formula>100</formula>
    </cfRule>
    <cfRule type="cellIs" dxfId="6622" priority="1690" stopIfTrue="1" operator="between">
      <formula>35.1</formula>
      <formula>80</formula>
    </cfRule>
    <cfRule type="cellIs" dxfId="6621" priority="1691" stopIfTrue="1" operator="between">
      <formula>14.1</formula>
      <formula>35</formula>
    </cfRule>
    <cfRule type="cellIs" dxfId="6620" priority="1692" stopIfTrue="1" operator="between">
      <formula>5.1</formula>
      <formula>14</formula>
    </cfRule>
    <cfRule type="cellIs" dxfId="6619" priority="1693" stopIfTrue="1" operator="between">
      <formula>0</formula>
      <formula>5</formula>
    </cfRule>
    <cfRule type="containsBlanks" dxfId="6618" priority="1694" stopIfTrue="1">
      <formula>LEN(TRIM(H131))=0</formula>
    </cfRule>
  </conditionalFormatting>
  <conditionalFormatting sqref="L131">
    <cfRule type="containsBlanks" dxfId="6617" priority="1681" stopIfTrue="1">
      <formula>LEN(TRIM(L131))=0</formula>
    </cfRule>
    <cfRule type="cellIs" dxfId="6616" priority="1682" stopIfTrue="1" operator="between">
      <formula>80.1</formula>
      <formula>100</formula>
    </cfRule>
    <cfRule type="cellIs" dxfId="6615" priority="1683" stopIfTrue="1" operator="between">
      <formula>35.1</formula>
      <formula>80</formula>
    </cfRule>
    <cfRule type="cellIs" dxfId="6614" priority="1684" stopIfTrue="1" operator="between">
      <formula>14.1</formula>
      <formula>35</formula>
    </cfRule>
    <cfRule type="cellIs" dxfId="6613" priority="1685" stopIfTrue="1" operator="between">
      <formula>5.1</formula>
      <formula>14</formula>
    </cfRule>
    <cfRule type="cellIs" dxfId="6612" priority="1686" stopIfTrue="1" operator="between">
      <formula>0</formula>
      <formula>5</formula>
    </cfRule>
    <cfRule type="containsBlanks" dxfId="6611" priority="1687" stopIfTrue="1">
      <formula>LEN(TRIM(L131))=0</formula>
    </cfRule>
  </conditionalFormatting>
  <conditionalFormatting sqref="E132:P132">
    <cfRule type="containsBlanks" dxfId="6610" priority="1674" stopIfTrue="1">
      <formula>LEN(TRIM(E132))=0</formula>
    </cfRule>
    <cfRule type="cellIs" dxfId="6609" priority="1675" stopIfTrue="1" operator="between">
      <formula>80.1</formula>
      <formula>100</formula>
    </cfRule>
    <cfRule type="cellIs" dxfId="6608" priority="1676" stopIfTrue="1" operator="between">
      <formula>35.1</formula>
      <formula>80</formula>
    </cfRule>
    <cfRule type="cellIs" dxfId="6607" priority="1677" stopIfTrue="1" operator="between">
      <formula>14.1</formula>
      <formula>35</formula>
    </cfRule>
    <cfRule type="cellIs" dxfId="6606" priority="1678" stopIfTrue="1" operator="between">
      <formula>5.1</formula>
      <formula>14</formula>
    </cfRule>
    <cfRule type="cellIs" dxfId="6605" priority="1679" stopIfTrue="1" operator="between">
      <formula>0</formula>
      <formula>5</formula>
    </cfRule>
    <cfRule type="containsBlanks" dxfId="6604" priority="1680" stopIfTrue="1">
      <formula>LEN(TRIM(E132))=0</formula>
    </cfRule>
  </conditionalFormatting>
  <conditionalFormatting sqref="E133:P149 H150:P150 E150:F150 E151:P160">
    <cfRule type="containsBlanks" dxfId="6603" priority="1667" stopIfTrue="1">
      <formula>LEN(TRIM(E133))=0</formula>
    </cfRule>
    <cfRule type="cellIs" dxfId="6602" priority="1668" stopIfTrue="1" operator="between">
      <formula>80.1</formula>
      <formula>100</formula>
    </cfRule>
    <cfRule type="cellIs" dxfId="6601" priority="1669" stopIfTrue="1" operator="between">
      <formula>35.1</formula>
      <formula>80</formula>
    </cfRule>
    <cfRule type="cellIs" dxfId="6600" priority="1670" stopIfTrue="1" operator="between">
      <formula>14.1</formula>
      <formula>35</formula>
    </cfRule>
    <cfRule type="cellIs" dxfId="6599" priority="1671" stopIfTrue="1" operator="between">
      <formula>5.1</formula>
      <formula>14</formula>
    </cfRule>
    <cfRule type="cellIs" dxfId="6598" priority="1672" stopIfTrue="1" operator="between">
      <formula>0</formula>
      <formula>5</formula>
    </cfRule>
    <cfRule type="containsBlanks" dxfId="6597" priority="1673" stopIfTrue="1">
      <formula>LEN(TRIM(E133))=0</formula>
    </cfRule>
  </conditionalFormatting>
  <conditionalFormatting sqref="E162:P176 E161:H161 J161:P161">
    <cfRule type="containsBlanks" dxfId="6596" priority="1660" stopIfTrue="1">
      <formula>LEN(TRIM(E161))=0</formula>
    </cfRule>
    <cfRule type="cellIs" dxfId="6595" priority="1661" stopIfTrue="1" operator="between">
      <formula>80.1</formula>
      <formula>100</formula>
    </cfRule>
    <cfRule type="cellIs" dxfId="6594" priority="1662" stopIfTrue="1" operator="between">
      <formula>35.1</formula>
      <formula>80</formula>
    </cfRule>
    <cfRule type="cellIs" dxfId="6593" priority="1663" stopIfTrue="1" operator="between">
      <formula>14.1</formula>
      <formula>35</formula>
    </cfRule>
    <cfRule type="cellIs" dxfId="6592" priority="1664" stopIfTrue="1" operator="between">
      <formula>5.1</formula>
      <formula>14</formula>
    </cfRule>
    <cfRule type="cellIs" dxfId="6591" priority="1665" stopIfTrue="1" operator="between">
      <formula>0</formula>
      <formula>5</formula>
    </cfRule>
    <cfRule type="containsBlanks" dxfId="6590" priority="1666" stopIfTrue="1">
      <formula>LEN(TRIM(E161))=0</formula>
    </cfRule>
  </conditionalFormatting>
  <conditionalFormatting sqref="I161">
    <cfRule type="containsBlanks" dxfId="6589" priority="1653" stopIfTrue="1">
      <formula>LEN(TRIM(I161))=0</formula>
    </cfRule>
    <cfRule type="cellIs" dxfId="6588" priority="1654" stopIfTrue="1" operator="between">
      <formula>80.1</formula>
      <formula>100</formula>
    </cfRule>
    <cfRule type="cellIs" dxfId="6587" priority="1655" stopIfTrue="1" operator="between">
      <formula>35.1</formula>
      <formula>80</formula>
    </cfRule>
    <cfRule type="cellIs" dxfId="6586" priority="1656" stopIfTrue="1" operator="between">
      <formula>14.1</formula>
      <formula>35</formula>
    </cfRule>
    <cfRule type="cellIs" dxfId="6585" priority="1657" stopIfTrue="1" operator="between">
      <formula>5.1</formula>
      <formula>14</formula>
    </cfRule>
    <cfRule type="cellIs" dxfId="6584" priority="1658" stopIfTrue="1" operator="between">
      <formula>0</formula>
      <formula>5</formula>
    </cfRule>
    <cfRule type="containsBlanks" dxfId="6583" priority="1659" stopIfTrue="1">
      <formula>LEN(TRIM(I161))=0</formula>
    </cfRule>
  </conditionalFormatting>
  <conditionalFormatting sqref="E179:P179">
    <cfRule type="containsBlanks" dxfId="6582" priority="1646" stopIfTrue="1">
      <formula>LEN(TRIM(E179))=0</formula>
    </cfRule>
    <cfRule type="cellIs" dxfId="6581" priority="1647" stopIfTrue="1" operator="between">
      <formula>80.1</formula>
      <formula>100</formula>
    </cfRule>
    <cfRule type="cellIs" dxfId="6580" priority="1648" stopIfTrue="1" operator="between">
      <formula>35.1</formula>
      <formula>80</formula>
    </cfRule>
    <cfRule type="cellIs" dxfId="6579" priority="1649" stopIfTrue="1" operator="between">
      <formula>14.1</formula>
      <formula>35</formula>
    </cfRule>
    <cfRule type="cellIs" dxfId="6578" priority="1650" stopIfTrue="1" operator="between">
      <formula>5.1</formula>
      <formula>14</formula>
    </cfRule>
    <cfRule type="cellIs" dxfId="6577" priority="1651" stopIfTrue="1" operator="between">
      <formula>0</formula>
      <formula>5</formula>
    </cfRule>
    <cfRule type="containsBlanks" dxfId="6576" priority="1652" stopIfTrue="1">
      <formula>LEN(TRIM(E179))=0</formula>
    </cfRule>
  </conditionalFormatting>
  <conditionalFormatting sqref="E177:P178">
    <cfRule type="containsBlanks" dxfId="6575" priority="1639" stopIfTrue="1">
      <formula>LEN(TRIM(E177))=0</formula>
    </cfRule>
    <cfRule type="cellIs" dxfId="6574" priority="1640" stopIfTrue="1" operator="between">
      <formula>80.1</formula>
      <formula>100</formula>
    </cfRule>
    <cfRule type="cellIs" dxfId="6573" priority="1641" stopIfTrue="1" operator="between">
      <formula>35.1</formula>
      <formula>80</formula>
    </cfRule>
    <cfRule type="cellIs" dxfId="6572" priority="1642" stopIfTrue="1" operator="between">
      <formula>14.1</formula>
      <formula>35</formula>
    </cfRule>
    <cfRule type="cellIs" dxfId="6571" priority="1643" stopIfTrue="1" operator="between">
      <formula>5.1</formula>
      <formula>14</formula>
    </cfRule>
    <cfRule type="cellIs" dxfId="6570" priority="1644" stopIfTrue="1" operator="between">
      <formula>0</formula>
      <formula>5</formula>
    </cfRule>
    <cfRule type="containsBlanks" dxfId="6569" priority="1645" stopIfTrue="1">
      <formula>LEN(TRIM(E177))=0</formula>
    </cfRule>
  </conditionalFormatting>
  <conditionalFormatting sqref="H190:P190 E190:F190 E191:P191 E181:P189">
    <cfRule type="containsBlanks" dxfId="6568" priority="1632" stopIfTrue="1">
      <formula>LEN(TRIM(E181))=0</formula>
    </cfRule>
    <cfRule type="cellIs" dxfId="6567" priority="1633" stopIfTrue="1" operator="between">
      <formula>80.1</formula>
      <formula>100</formula>
    </cfRule>
    <cfRule type="cellIs" dxfId="6566" priority="1634" stopIfTrue="1" operator="between">
      <formula>35.1</formula>
      <formula>80</formula>
    </cfRule>
    <cfRule type="cellIs" dxfId="6565" priority="1635" stopIfTrue="1" operator="between">
      <formula>14.1</formula>
      <formula>35</formula>
    </cfRule>
    <cfRule type="cellIs" dxfId="6564" priority="1636" stopIfTrue="1" operator="between">
      <formula>5.1</formula>
      <formula>14</formula>
    </cfRule>
    <cfRule type="cellIs" dxfId="6563" priority="1637" stopIfTrue="1" operator="between">
      <formula>0</formula>
      <formula>5</formula>
    </cfRule>
    <cfRule type="containsBlanks" dxfId="6562" priority="1638" stopIfTrue="1">
      <formula>LEN(TRIM(E181))=0</formula>
    </cfRule>
  </conditionalFormatting>
  <conditionalFormatting sqref="E192:P193">
    <cfRule type="containsBlanks" dxfId="6561" priority="1625" stopIfTrue="1">
      <formula>LEN(TRIM(E192))=0</formula>
    </cfRule>
    <cfRule type="cellIs" dxfId="6560" priority="1626" stopIfTrue="1" operator="between">
      <formula>80.1</formula>
      <formula>100</formula>
    </cfRule>
    <cfRule type="cellIs" dxfId="6559" priority="1627" stopIfTrue="1" operator="between">
      <formula>35.1</formula>
      <formula>80</formula>
    </cfRule>
    <cfRule type="cellIs" dxfId="6558" priority="1628" stopIfTrue="1" operator="between">
      <formula>14.1</formula>
      <formula>35</formula>
    </cfRule>
    <cfRule type="cellIs" dxfId="6557" priority="1629" stopIfTrue="1" operator="between">
      <formula>5.1</formula>
      <formula>14</formula>
    </cfRule>
    <cfRule type="cellIs" dxfId="6556" priority="1630" stopIfTrue="1" operator="between">
      <formula>0</formula>
      <formula>5</formula>
    </cfRule>
    <cfRule type="containsBlanks" dxfId="6555" priority="1631" stopIfTrue="1">
      <formula>LEN(TRIM(E192))=0</formula>
    </cfRule>
  </conditionalFormatting>
  <conditionalFormatting sqref="E195:P195">
    <cfRule type="containsBlanks" dxfId="6554" priority="1618" stopIfTrue="1">
      <formula>LEN(TRIM(E195))=0</formula>
    </cfRule>
    <cfRule type="cellIs" dxfId="6553" priority="1619" stopIfTrue="1" operator="between">
      <formula>79.1</formula>
      <formula>100</formula>
    </cfRule>
    <cfRule type="cellIs" dxfId="6552" priority="1620" stopIfTrue="1" operator="between">
      <formula>34.1</formula>
      <formula>79</formula>
    </cfRule>
    <cfRule type="cellIs" dxfId="6551" priority="1621" stopIfTrue="1" operator="between">
      <formula>13.1</formula>
      <formula>34</formula>
    </cfRule>
    <cfRule type="cellIs" dxfId="6550" priority="1622" stopIfTrue="1" operator="between">
      <formula>5.1</formula>
      <formula>13</formula>
    </cfRule>
    <cfRule type="cellIs" dxfId="6549" priority="1623" stopIfTrue="1" operator="between">
      <formula>0</formula>
      <formula>5</formula>
    </cfRule>
    <cfRule type="containsBlanks" dxfId="6548" priority="1624" stopIfTrue="1">
      <formula>LEN(TRIM(E195))=0</formula>
    </cfRule>
  </conditionalFormatting>
  <conditionalFormatting sqref="E196:P196">
    <cfRule type="containsBlanks" dxfId="6547" priority="1611" stopIfTrue="1">
      <formula>LEN(TRIM(E196))=0</formula>
    </cfRule>
    <cfRule type="cellIs" dxfId="6546" priority="1612" stopIfTrue="1" operator="between">
      <formula>79.1</formula>
      <formula>100</formula>
    </cfRule>
    <cfRule type="cellIs" dxfId="6545" priority="1613" stopIfTrue="1" operator="between">
      <formula>34.1</formula>
      <formula>79</formula>
    </cfRule>
    <cfRule type="cellIs" dxfId="6544" priority="1614" stopIfTrue="1" operator="between">
      <formula>13.1</formula>
      <formula>34</formula>
    </cfRule>
    <cfRule type="cellIs" dxfId="6543" priority="1615" stopIfTrue="1" operator="between">
      <formula>5.1</formula>
      <formula>13</formula>
    </cfRule>
    <cfRule type="cellIs" dxfId="6542" priority="1616" stopIfTrue="1" operator="between">
      <formula>0</formula>
      <formula>5</formula>
    </cfRule>
    <cfRule type="containsBlanks" dxfId="6541" priority="1617" stopIfTrue="1">
      <formula>LEN(TRIM(E196))=0</formula>
    </cfRule>
  </conditionalFormatting>
  <conditionalFormatting sqref="E197:P197">
    <cfRule type="containsBlanks" dxfId="6540" priority="1604" stopIfTrue="1">
      <formula>LEN(TRIM(E197))=0</formula>
    </cfRule>
    <cfRule type="cellIs" dxfId="6539" priority="1605" stopIfTrue="1" operator="between">
      <formula>79.1</formula>
      <formula>100</formula>
    </cfRule>
    <cfRule type="cellIs" dxfId="6538" priority="1606" stopIfTrue="1" operator="between">
      <formula>34.1</formula>
      <formula>79</formula>
    </cfRule>
    <cfRule type="cellIs" dxfId="6537" priority="1607" stopIfTrue="1" operator="between">
      <formula>13.1</formula>
      <formula>34</formula>
    </cfRule>
    <cfRule type="cellIs" dxfId="6536" priority="1608" stopIfTrue="1" operator="between">
      <formula>5.1</formula>
      <formula>13</formula>
    </cfRule>
    <cfRule type="cellIs" dxfId="6535" priority="1609" stopIfTrue="1" operator="between">
      <formula>0</formula>
      <formula>5</formula>
    </cfRule>
    <cfRule type="containsBlanks" dxfId="6534" priority="1610" stopIfTrue="1">
      <formula>LEN(TRIM(E197))=0</formula>
    </cfRule>
  </conditionalFormatting>
  <conditionalFormatting sqref="E198:P198">
    <cfRule type="containsBlanks" dxfId="6533" priority="1597" stopIfTrue="1">
      <formula>LEN(TRIM(E198))=0</formula>
    </cfRule>
    <cfRule type="cellIs" dxfId="6532" priority="1598" stopIfTrue="1" operator="between">
      <formula>79.1</formula>
      <formula>100</formula>
    </cfRule>
    <cfRule type="cellIs" dxfId="6531" priority="1599" stopIfTrue="1" operator="between">
      <formula>34.1</formula>
      <formula>79</formula>
    </cfRule>
    <cfRule type="cellIs" dxfId="6530" priority="1600" stopIfTrue="1" operator="between">
      <formula>13.1</formula>
      <formula>34</formula>
    </cfRule>
    <cfRule type="cellIs" dxfId="6529" priority="1601" stopIfTrue="1" operator="between">
      <formula>5.1</formula>
      <formula>13</formula>
    </cfRule>
    <cfRule type="cellIs" dxfId="6528" priority="1602" stopIfTrue="1" operator="between">
      <formula>0</formula>
      <formula>5</formula>
    </cfRule>
    <cfRule type="containsBlanks" dxfId="6527" priority="1603" stopIfTrue="1">
      <formula>LEN(TRIM(E198))=0</formula>
    </cfRule>
  </conditionalFormatting>
  <conditionalFormatting sqref="E199:P199">
    <cfRule type="containsBlanks" dxfId="6526" priority="1590" stopIfTrue="1">
      <formula>LEN(TRIM(E199))=0</formula>
    </cfRule>
    <cfRule type="cellIs" dxfId="6525" priority="1591" stopIfTrue="1" operator="between">
      <formula>79.1</formula>
      <formula>100</formula>
    </cfRule>
    <cfRule type="cellIs" dxfId="6524" priority="1592" stopIfTrue="1" operator="between">
      <formula>34.1</formula>
      <formula>79</formula>
    </cfRule>
    <cfRule type="cellIs" dxfId="6523" priority="1593" stopIfTrue="1" operator="between">
      <formula>13.1</formula>
      <formula>34</formula>
    </cfRule>
    <cfRule type="cellIs" dxfId="6522" priority="1594" stopIfTrue="1" operator="between">
      <formula>5.1</formula>
      <formula>13</formula>
    </cfRule>
    <cfRule type="cellIs" dxfId="6521" priority="1595" stopIfTrue="1" operator="between">
      <formula>0</formula>
      <formula>5</formula>
    </cfRule>
    <cfRule type="containsBlanks" dxfId="6520" priority="1596" stopIfTrue="1">
      <formula>LEN(TRIM(E199))=0</formula>
    </cfRule>
  </conditionalFormatting>
  <conditionalFormatting sqref="E200:P200">
    <cfRule type="containsBlanks" dxfId="6519" priority="1583" stopIfTrue="1">
      <formula>LEN(TRIM(E200))=0</formula>
    </cfRule>
    <cfRule type="cellIs" dxfId="6518" priority="1584" stopIfTrue="1" operator="between">
      <formula>79.1</formula>
      <formula>100</formula>
    </cfRule>
    <cfRule type="cellIs" dxfId="6517" priority="1585" stopIfTrue="1" operator="between">
      <formula>34.1</formula>
      <formula>79</formula>
    </cfRule>
    <cfRule type="cellIs" dxfId="6516" priority="1586" stopIfTrue="1" operator="between">
      <formula>13.1</formula>
      <formula>34</formula>
    </cfRule>
    <cfRule type="cellIs" dxfId="6515" priority="1587" stopIfTrue="1" operator="between">
      <formula>5.1</formula>
      <formula>13</formula>
    </cfRule>
    <cfRule type="cellIs" dxfId="6514" priority="1588" stopIfTrue="1" operator="between">
      <formula>0</formula>
      <formula>5</formula>
    </cfRule>
    <cfRule type="containsBlanks" dxfId="6513" priority="1589" stopIfTrue="1">
      <formula>LEN(TRIM(E200))=0</formula>
    </cfRule>
  </conditionalFormatting>
  <conditionalFormatting sqref="E201:P201">
    <cfRule type="containsBlanks" dxfId="6512" priority="1576" stopIfTrue="1">
      <formula>LEN(TRIM(E201))=0</formula>
    </cfRule>
    <cfRule type="cellIs" dxfId="6511" priority="1577" stopIfTrue="1" operator="between">
      <formula>79.1</formula>
      <formula>100</formula>
    </cfRule>
    <cfRule type="cellIs" dxfId="6510" priority="1578" stopIfTrue="1" operator="between">
      <formula>34.1</formula>
      <formula>79</formula>
    </cfRule>
    <cfRule type="cellIs" dxfId="6509" priority="1579" stopIfTrue="1" operator="between">
      <formula>13.1</formula>
      <formula>34</formula>
    </cfRule>
    <cfRule type="cellIs" dxfId="6508" priority="1580" stopIfTrue="1" operator="between">
      <formula>5.1</formula>
      <formula>13</formula>
    </cfRule>
    <cfRule type="cellIs" dxfId="6507" priority="1581" stopIfTrue="1" operator="between">
      <formula>0</formula>
      <formula>5</formula>
    </cfRule>
    <cfRule type="containsBlanks" dxfId="6506" priority="1582" stopIfTrue="1">
      <formula>LEN(TRIM(E201))=0</formula>
    </cfRule>
  </conditionalFormatting>
  <conditionalFormatting sqref="E204:P204">
    <cfRule type="containsBlanks" dxfId="6505" priority="1569" stopIfTrue="1">
      <formula>LEN(TRIM(E204))=0</formula>
    </cfRule>
    <cfRule type="cellIs" dxfId="6504" priority="1570" stopIfTrue="1" operator="between">
      <formula>79.1</formula>
      <formula>100</formula>
    </cfRule>
    <cfRule type="cellIs" dxfId="6503" priority="1571" stopIfTrue="1" operator="between">
      <formula>34.1</formula>
      <formula>79</formula>
    </cfRule>
    <cfRule type="cellIs" dxfId="6502" priority="1572" stopIfTrue="1" operator="between">
      <formula>13.1</formula>
      <formula>34</formula>
    </cfRule>
    <cfRule type="cellIs" dxfId="6501" priority="1573" stopIfTrue="1" operator="between">
      <formula>5.1</formula>
      <formula>13</formula>
    </cfRule>
    <cfRule type="cellIs" dxfId="6500" priority="1574" stopIfTrue="1" operator="between">
      <formula>0</formula>
      <formula>5</formula>
    </cfRule>
    <cfRule type="containsBlanks" dxfId="6499" priority="1575" stopIfTrue="1">
      <formula>LEN(TRIM(E204))=0</formula>
    </cfRule>
  </conditionalFormatting>
  <conditionalFormatting sqref="E205:P205">
    <cfRule type="containsBlanks" dxfId="6498" priority="1562" stopIfTrue="1">
      <formula>LEN(TRIM(E205))=0</formula>
    </cfRule>
    <cfRule type="cellIs" dxfId="6497" priority="1563" stopIfTrue="1" operator="between">
      <formula>79.1</formula>
      <formula>100</formula>
    </cfRule>
    <cfRule type="cellIs" dxfId="6496" priority="1564" stopIfTrue="1" operator="between">
      <formula>34.1</formula>
      <formula>79</formula>
    </cfRule>
    <cfRule type="cellIs" dxfId="6495" priority="1565" stopIfTrue="1" operator="between">
      <formula>13.1</formula>
      <formula>34</formula>
    </cfRule>
    <cfRule type="cellIs" dxfId="6494" priority="1566" stopIfTrue="1" operator="between">
      <formula>5.1</formula>
      <formula>13</formula>
    </cfRule>
    <cfRule type="cellIs" dxfId="6493" priority="1567" stopIfTrue="1" operator="between">
      <formula>0</formula>
      <formula>5</formula>
    </cfRule>
    <cfRule type="containsBlanks" dxfId="6492" priority="1568" stopIfTrue="1">
      <formula>LEN(TRIM(E205))=0</formula>
    </cfRule>
  </conditionalFormatting>
  <conditionalFormatting sqref="E206:P206">
    <cfRule type="containsBlanks" dxfId="6491" priority="1555" stopIfTrue="1">
      <formula>LEN(TRIM(E206))=0</formula>
    </cfRule>
    <cfRule type="cellIs" dxfId="6490" priority="1556" stopIfTrue="1" operator="between">
      <formula>79.1</formula>
      <formula>100</formula>
    </cfRule>
    <cfRule type="cellIs" dxfId="6489" priority="1557" stopIfTrue="1" operator="between">
      <formula>34.1</formula>
      <formula>79</formula>
    </cfRule>
    <cfRule type="cellIs" dxfId="6488" priority="1558" stopIfTrue="1" operator="between">
      <formula>13.1</formula>
      <formula>34</formula>
    </cfRule>
    <cfRule type="cellIs" dxfId="6487" priority="1559" stopIfTrue="1" operator="between">
      <formula>5.1</formula>
      <formula>13</formula>
    </cfRule>
    <cfRule type="cellIs" dxfId="6486" priority="1560" stopIfTrue="1" operator="between">
      <formula>0</formula>
      <formula>5</formula>
    </cfRule>
    <cfRule type="containsBlanks" dxfId="6485" priority="1561" stopIfTrue="1">
      <formula>LEN(TRIM(E206))=0</formula>
    </cfRule>
  </conditionalFormatting>
  <conditionalFormatting sqref="E207:P207">
    <cfRule type="containsBlanks" dxfId="6484" priority="1548" stopIfTrue="1">
      <formula>LEN(TRIM(E207))=0</formula>
    </cfRule>
    <cfRule type="cellIs" dxfId="6483" priority="1549" stopIfTrue="1" operator="between">
      <formula>79.1</formula>
      <formula>100</formula>
    </cfRule>
    <cfRule type="cellIs" dxfId="6482" priority="1550" stopIfTrue="1" operator="between">
      <formula>34.1</formula>
      <formula>79</formula>
    </cfRule>
    <cfRule type="cellIs" dxfId="6481" priority="1551" stopIfTrue="1" operator="between">
      <formula>13.1</formula>
      <formula>34</formula>
    </cfRule>
    <cfRule type="cellIs" dxfId="6480" priority="1552" stopIfTrue="1" operator="between">
      <formula>5.1</formula>
      <formula>13</formula>
    </cfRule>
    <cfRule type="cellIs" dxfId="6479" priority="1553" stopIfTrue="1" operator="between">
      <formula>0</formula>
      <formula>5</formula>
    </cfRule>
    <cfRule type="containsBlanks" dxfId="6478" priority="1554" stopIfTrue="1">
      <formula>LEN(TRIM(E207))=0</formula>
    </cfRule>
  </conditionalFormatting>
  <conditionalFormatting sqref="E209:P209">
    <cfRule type="containsBlanks" dxfId="6477" priority="1541" stopIfTrue="1">
      <formula>LEN(TRIM(E209))=0</formula>
    </cfRule>
    <cfRule type="cellIs" dxfId="6476" priority="1542" stopIfTrue="1" operator="between">
      <formula>79.1</formula>
      <formula>100</formula>
    </cfRule>
    <cfRule type="cellIs" dxfId="6475" priority="1543" stopIfTrue="1" operator="between">
      <formula>34.1</formula>
      <formula>79</formula>
    </cfRule>
    <cfRule type="cellIs" dxfId="6474" priority="1544" stopIfTrue="1" operator="between">
      <formula>13.1</formula>
      <formula>34</formula>
    </cfRule>
    <cfRule type="cellIs" dxfId="6473" priority="1545" stopIfTrue="1" operator="between">
      <formula>5.1</formula>
      <formula>13</formula>
    </cfRule>
    <cfRule type="cellIs" dxfId="6472" priority="1546" stopIfTrue="1" operator="between">
      <formula>0</formula>
      <formula>5</formula>
    </cfRule>
    <cfRule type="containsBlanks" dxfId="6471" priority="1547" stopIfTrue="1">
      <formula>LEN(TRIM(E209))=0</formula>
    </cfRule>
  </conditionalFormatting>
  <conditionalFormatting sqref="E210:P210">
    <cfRule type="containsBlanks" dxfId="6470" priority="1534" stopIfTrue="1">
      <formula>LEN(TRIM(E210))=0</formula>
    </cfRule>
    <cfRule type="cellIs" dxfId="6469" priority="1535" stopIfTrue="1" operator="between">
      <formula>79.1</formula>
      <formula>100</formula>
    </cfRule>
    <cfRule type="cellIs" dxfId="6468" priority="1536" stopIfTrue="1" operator="between">
      <formula>34.1</formula>
      <formula>79</formula>
    </cfRule>
    <cfRule type="cellIs" dxfId="6467" priority="1537" stopIfTrue="1" operator="between">
      <formula>13.1</formula>
      <formula>34</formula>
    </cfRule>
    <cfRule type="cellIs" dxfId="6466" priority="1538" stopIfTrue="1" operator="between">
      <formula>5.1</formula>
      <formula>13</formula>
    </cfRule>
    <cfRule type="cellIs" dxfId="6465" priority="1539" stopIfTrue="1" operator="between">
      <formula>0</formula>
      <formula>5</formula>
    </cfRule>
    <cfRule type="containsBlanks" dxfId="6464" priority="1540" stopIfTrue="1">
      <formula>LEN(TRIM(E210))=0</formula>
    </cfRule>
  </conditionalFormatting>
  <conditionalFormatting sqref="E211:P211">
    <cfRule type="containsBlanks" dxfId="6463" priority="1527" stopIfTrue="1">
      <formula>LEN(TRIM(E211))=0</formula>
    </cfRule>
    <cfRule type="cellIs" dxfId="6462" priority="1528" stopIfTrue="1" operator="between">
      <formula>79.1</formula>
      <formula>100</formula>
    </cfRule>
    <cfRule type="cellIs" dxfId="6461" priority="1529" stopIfTrue="1" operator="between">
      <formula>34.1</formula>
      <formula>79</formula>
    </cfRule>
    <cfRule type="cellIs" dxfId="6460" priority="1530" stopIfTrue="1" operator="between">
      <formula>13.1</formula>
      <formula>34</formula>
    </cfRule>
    <cfRule type="cellIs" dxfId="6459" priority="1531" stopIfTrue="1" operator="between">
      <formula>5.1</formula>
      <formula>13</formula>
    </cfRule>
    <cfRule type="cellIs" dxfId="6458" priority="1532" stopIfTrue="1" operator="between">
      <formula>0</formula>
      <formula>5</formula>
    </cfRule>
    <cfRule type="containsBlanks" dxfId="6457" priority="1533" stopIfTrue="1">
      <formula>LEN(TRIM(E211))=0</formula>
    </cfRule>
  </conditionalFormatting>
  <conditionalFormatting sqref="E212:P212">
    <cfRule type="containsBlanks" dxfId="6456" priority="1520" stopIfTrue="1">
      <formula>LEN(TRIM(E212))=0</formula>
    </cfRule>
    <cfRule type="cellIs" dxfId="6455" priority="1521" stopIfTrue="1" operator="between">
      <formula>79.1</formula>
      <formula>100</formula>
    </cfRule>
    <cfRule type="cellIs" dxfId="6454" priority="1522" stopIfTrue="1" operator="between">
      <formula>34.1</formula>
      <formula>79</formula>
    </cfRule>
    <cfRule type="cellIs" dxfId="6453" priority="1523" stopIfTrue="1" operator="between">
      <formula>13.1</formula>
      <formula>34</formula>
    </cfRule>
    <cfRule type="cellIs" dxfId="6452" priority="1524" stopIfTrue="1" operator="between">
      <formula>5.1</formula>
      <formula>13</formula>
    </cfRule>
    <cfRule type="cellIs" dxfId="6451" priority="1525" stopIfTrue="1" operator="between">
      <formula>0</formula>
      <formula>5</formula>
    </cfRule>
    <cfRule type="containsBlanks" dxfId="6450" priority="1526" stopIfTrue="1">
      <formula>LEN(TRIM(E212))=0</formula>
    </cfRule>
  </conditionalFormatting>
  <conditionalFormatting sqref="E214:P214">
    <cfRule type="containsBlanks" dxfId="6449" priority="1513" stopIfTrue="1">
      <formula>LEN(TRIM(E214))=0</formula>
    </cfRule>
    <cfRule type="cellIs" dxfId="6448" priority="1514" stopIfTrue="1" operator="between">
      <formula>79.1</formula>
      <formula>100</formula>
    </cfRule>
    <cfRule type="cellIs" dxfId="6447" priority="1515" stopIfTrue="1" operator="between">
      <formula>34.1</formula>
      <formula>79</formula>
    </cfRule>
    <cfRule type="cellIs" dxfId="6446" priority="1516" stopIfTrue="1" operator="between">
      <formula>13.1</formula>
      <formula>34</formula>
    </cfRule>
    <cfRule type="cellIs" dxfId="6445" priority="1517" stopIfTrue="1" operator="between">
      <formula>5.1</formula>
      <formula>13</formula>
    </cfRule>
    <cfRule type="cellIs" dxfId="6444" priority="1518" stopIfTrue="1" operator="between">
      <formula>0</formula>
      <formula>5</formula>
    </cfRule>
    <cfRule type="containsBlanks" dxfId="6443" priority="1519" stopIfTrue="1">
      <formula>LEN(TRIM(E214))=0</formula>
    </cfRule>
  </conditionalFormatting>
  <conditionalFormatting sqref="E216:P216">
    <cfRule type="containsBlanks" dxfId="6442" priority="1506" stopIfTrue="1">
      <formula>LEN(TRIM(E216))=0</formula>
    </cfRule>
    <cfRule type="cellIs" dxfId="6441" priority="1507" stopIfTrue="1" operator="between">
      <formula>80.1</formula>
      <formula>100</formula>
    </cfRule>
    <cfRule type="cellIs" dxfId="6440" priority="1508" stopIfTrue="1" operator="between">
      <formula>35.1</formula>
      <formula>80</formula>
    </cfRule>
    <cfRule type="cellIs" dxfId="6439" priority="1509" stopIfTrue="1" operator="between">
      <formula>14.1</formula>
      <formula>35</formula>
    </cfRule>
    <cfRule type="cellIs" dxfId="6438" priority="1510" stopIfTrue="1" operator="between">
      <formula>5.1</formula>
      <formula>14</formula>
    </cfRule>
    <cfRule type="cellIs" dxfId="6437" priority="1511" stopIfTrue="1" operator="between">
      <formula>0</formula>
      <formula>5</formula>
    </cfRule>
    <cfRule type="containsBlanks" dxfId="6436" priority="1512" stopIfTrue="1">
      <formula>LEN(TRIM(E216))=0</formula>
    </cfRule>
  </conditionalFormatting>
  <conditionalFormatting sqref="E226:P226 E227:F227 H227:O227 E228:P228 K229:P229 E229:I229">
    <cfRule type="containsBlanks" dxfId="6435" priority="1499" stopIfTrue="1">
      <formula>LEN(TRIM(E226))=0</formula>
    </cfRule>
    <cfRule type="cellIs" dxfId="6434" priority="1500" stopIfTrue="1" operator="between">
      <formula>80.1</formula>
      <formula>100</formula>
    </cfRule>
    <cfRule type="cellIs" dxfId="6433" priority="1501" stopIfTrue="1" operator="between">
      <formula>35.1</formula>
      <formula>80</formula>
    </cfRule>
    <cfRule type="cellIs" dxfId="6432" priority="1502" stopIfTrue="1" operator="between">
      <formula>14.1</formula>
      <formula>35</formula>
    </cfRule>
    <cfRule type="cellIs" dxfId="6431" priority="1503" stopIfTrue="1" operator="between">
      <formula>5.1</formula>
      <formula>14</formula>
    </cfRule>
    <cfRule type="cellIs" dxfId="6430" priority="1504" stopIfTrue="1" operator="between">
      <formula>0</formula>
      <formula>5</formula>
    </cfRule>
    <cfRule type="containsBlanks" dxfId="6429" priority="1505" stopIfTrue="1">
      <formula>LEN(TRIM(E226))=0</formula>
    </cfRule>
  </conditionalFormatting>
  <conditionalFormatting sqref="J231:O231 E231:H231">
    <cfRule type="containsBlanks" dxfId="6428" priority="1492" stopIfTrue="1">
      <formula>LEN(TRIM(E231))=0</formula>
    </cfRule>
    <cfRule type="cellIs" dxfId="6427" priority="1493" stopIfTrue="1" operator="between">
      <formula>80.1</formula>
      <formula>100</formula>
    </cfRule>
    <cfRule type="cellIs" dxfId="6426" priority="1494" stopIfTrue="1" operator="between">
      <formula>35.1</formula>
      <formula>80</formula>
    </cfRule>
    <cfRule type="cellIs" dxfId="6425" priority="1495" stopIfTrue="1" operator="between">
      <formula>14.1</formula>
      <formula>35</formula>
    </cfRule>
    <cfRule type="cellIs" dxfId="6424" priority="1496" stopIfTrue="1" operator="between">
      <formula>5.1</formula>
      <formula>14</formula>
    </cfRule>
    <cfRule type="cellIs" dxfId="6423" priority="1497" stopIfTrue="1" operator="between">
      <formula>0</formula>
      <formula>5</formula>
    </cfRule>
    <cfRule type="containsBlanks" dxfId="6422" priority="1498" stopIfTrue="1">
      <formula>LEN(TRIM(E231))=0</formula>
    </cfRule>
  </conditionalFormatting>
  <conditionalFormatting sqref="N240:P243">
    <cfRule type="containsBlanks" dxfId="6421" priority="1485" stopIfTrue="1">
      <formula>LEN(TRIM(N240))=0</formula>
    </cfRule>
    <cfRule type="cellIs" dxfId="6420" priority="1486" stopIfTrue="1" operator="between">
      <formula>80.1</formula>
      <formula>100</formula>
    </cfRule>
    <cfRule type="cellIs" dxfId="6419" priority="1487" stopIfTrue="1" operator="between">
      <formula>35.1</formula>
      <formula>80</formula>
    </cfRule>
    <cfRule type="cellIs" dxfId="6418" priority="1488" stopIfTrue="1" operator="between">
      <formula>14.1</formula>
      <formula>35</formula>
    </cfRule>
    <cfRule type="cellIs" dxfId="6417" priority="1489" stopIfTrue="1" operator="between">
      <formula>5.1</formula>
      <formula>14</formula>
    </cfRule>
    <cfRule type="cellIs" dxfId="6416" priority="1490" stopIfTrue="1" operator="between">
      <formula>0</formula>
      <formula>5</formula>
    </cfRule>
    <cfRule type="containsBlanks" dxfId="6415" priority="1491" stopIfTrue="1">
      <formula>LEN(TRIM(N240))=0</formula>
    </cfRule>
  </conditionalFormatting>
  <conditionalFormatting sqref="E240:M243">
    <cfRule type="containsBlanks" dxfId="6414" priority="1478" stopIfTrue="1">
      <formula>LEN(TRIM(E240))=0</formula>
    </cfRule>
    <cfRule type="cellIs" dxfId="6413" priority="1479" stopIfTrue="1" operator="between">
      <formula>80.1</formula>
      <formula>100</formula>
    </cfRule>
    <cfRule type="cellIs" dxfId="6412" priority="1480" stopIfTrue="1" operator="between">
      <formula>35.1</formula>
      <formula>80</formula>
    </cfRule>
    <cfRule type="cellIs" dxfId="6411" priority="1481" stopIfTrue="1" operator="between">
      <formula>14.1</formula>
      <formula>35</formula>
    </cfRule>
    <cfRule type="cellIs" dxfId="6410" priority="1482" stopIfTrue="1" operator="between">
      <formula>5.1</formula>
      <formula>14</formula>
    </cfRule>
    <cfRule type="cellIs" dxfId="6409" priority="1483" stopIfTrue="1" operator="between">
      <formula>0</formula>
      <formula>5</formula>
    </cfRule>
    <cfRule type="containsBlanks" dxfId="6408" priority="1484" stopIfTrue="1">
      <formula>LEN(TRIM(E240))=0</formula>
    </cfRule>
  </conditionalFormatting>
  <conditionalFormatting sqref="N247:P247">
    <cfRule type="containsBlanks" dxfId="6407" priority="1471" stopIfTrue="1">
      <formula>LEN(TRIM(N247))=0</formula>
    </cfRule>
    <cfRule type="cellIs" dxfId="6406" priority="1472" stopIfTrue="1" operator="between">
      <formula>80.1</formula>
      <formula>100</formula>
    </cfRule>
    <cfRule type="cellIs" dxfId="6405" priority="1473" stopIfTrue="1" operator="between">
      <formula>35.1</formula>
      <formula>80</formula>
    </cfRule>
    <cfRule type="cellIs" dxfId="6404" priority="1474" stopIfTrue="1" operator="between">
      <formula>14.1</formula>
      <formula>35</formula>
    </cfRule>
    <cfRule type="cellIs" dxfId="6403" priority="1475" stopIfTrue="1" operator="between">
      <formula>5.1</formula>
      <formula>14</formula>
    </cfRule>
    <cfRule type="cellIs" dxfId="6402" priority="1476" stopIfTrue="1" operator="between">
      <formula>0</formula>
      <formula>5</formula>
    </cfRule>
    <cfRule type="containsBlanks" dxfId="6401" priority="1477" stopIfTrue="1">
      <formula>LEN(TRIM(N247))=0</formula>
    </cfRule>
  </conditionalFormatting>
  <conditionalFormatting sqref="E247:M247">
    <cfRule type="containsBlanks" dxfId="6400" priority="1464" stopIfTrue="1">
      <formula>LEN(TRIM(E247))=0</formula>
    </cfRule>
    <cfRule type="cellIs" dxfId="6399" priority="1465" stopIfTrue="1" operator="between">
      <formula>80.1</formula>
      <formula>100</formula>
    </cfRule>
    <cfRule type="cellIs" dxfId="6398" priority="1466" stopIfTrue="1" operator="between">
      <formula>35.1</formula>
      <formula>80</formula>
    </cfRule>
    <cfRule type="cellIs" dxfId="6397" priority="1467" stopIfTrue="1" operator="between">
      <formula>14.1</formula>
      <formula>35</formula>
    </cfRule>
    <cfRule type="cellIs" dxfId="6396" priority="1468" stopIfTrue="1" operator="between">
      <formula>5.1</formula>
      <formula>14</formula>
    </cfRule>
    <cfRule type="cellIs" dxfId="6395" priority="1469" stopIfTrue="1" operator="between">
      <formula>0</formula>
      <formula>5</formula>
    </cfRule>
    <cfRule type="containsBlanks" dxfId="6394" priority="1470" stopIfTrue="1">
      <formula>LEN(TRIM(E247))=0</formula>
    </cfRule>
  </conditionalFormatting>
  <conditionalFormatting sqref="N249:P249">
    <cfRule type="containsBlanks" dxfId="6393" priority="1457" stopIfTrue="1">
      <formula>LEN(TRIM(N249))=0</formula>
    </cfRule>
    <cfRule type="cellIs" dxfId="6392" priority="1458" stopIfTrue="1" operator="between">
      <formula>80.1</formula>
      <formula>100</formula>
    </cfRule>
    <cfRule type="cellIs" dxfId="6391" priority="1459" stopIfTrue="1" operator="between">
      <formula>35.1</formula>
      <formula>80</formula>
    </cfRule>
    <cfRule type="cellIs" dxfId="6390" priority="1460" stopIfTrue="1" operator="between">
      <formula>14.1</formula>
      <formula>35</formula>
    </cfRule>
    <cfRule type="cellIs" dxfId="6389" priority="1461" stopIfTrue="1" operator="between">
      <formula>5.1</formula>
      <formula>14</formula>
    </cfRule>
    <cfRule type="cellIs" dxfId="6388" priority="1462" stopIfTrue="1" operator="between">
      <formula>0</formula>
      <formula>5</formula>
    </cfRule>
    <cfRule type="containsBlanks" dxfId="6387" priority="1463" stopIfTrue="1">
      <formula>LEN(TRIM(N249))=0</formula>
    </cfRule>
  </conditionalFormatting>
  <conditionalFormatting sqref="E249:M249">
    <cfRule type="containsBlanks" dxfId="6386" priority="1450" stopIfTrue="1">
      <formula>LEN(TRIM(E249))=0</formula>
    </cfRule>
    <cfRule type="cellIs" dxfId="6385" priority="1451" stopIfTrue="1" operator="between">
      <formula>80.1</formula>
      <formula>100</formula>
    </cfRule>
    <cfRule type="cellIs" dxfId="6384" priority="1452" stopIfTrue="1" operator="between">
      <formula>35.1</formula>
      <formula>80</formula>
    </cfRule>
    <cfRule type="cellIs" dxfId="6383" priority="1453" stopIfTrue="1" operator="between">
      <formula>14.1</formula>
      <formula>35</formula>
    </cfRule>
    <cfRule type="cellIs" dxfId="6382" priority="1454" stopIfTrue="1" operator="between">
      <formula>5.1</formula>
      <formula>14</formula>
    </cfRule>
    <cfRule type="cellIs" dxfId="6381" priority="1455" stopIfTrue="1" operator="between">
      <formula>0</formula>
      <formula>5</formula>
    </cfRule>
    <cfRule type="containsBlanks" dxfId="6380" priority="1456" stopIfTrue="1">
      <formula>LEN(TRIM(E249))=0</formula>
    </cfRule>
  </conditionalFormatting>
  <conditionalFormatting sqref="E256:P256">
    <cfRule type="containsBlanks" dxfId="6379" priority="1443" stopIfTrue="1">
      <formula>LEN(TRIM(E256))=0</formula>
    </cfRule>
    <cfRule type="cellIs" dxfId="6378" priority="1444" stopIfTrue="1" operator="between">
      <formula>80.1</formula>
      <formula>100</formula>
    </cfRule>
    <cfRule type="cellIs" dxfId="6377" priority="1445" stopIfTrue="1" operator="between">
      <formula>35.1</formula>
      <formula>80</formula>
    </cfRule>
    <cfRule type="cellIs" dxfId="6376" priority="1446" stopIfTrue="1" operator="between">
      <formula>14.1</formula>
      <formula>35</formula>
    </cfRule>
    <cfRule type="cellIs" dxfId="6375" priority="1447" stopIfTrue="1" operator="between">
      <formula>5.1</formula>
      <formula>14</formula>
    </cfRule>
    <cfRule type="cellIs" dxfId="6374" priority="1448" stopIfTrue="1" operator="between">
      <formula>0</formula>
      <formula>5</formula>
    </cfRule>
    <cfRule type="containsBlanks" dxfId="6373" priority="1449" stopIfTrue="1">
      <formula>LEN(TRIM(E256))=0</formula>
    </cfRule>
  </conditionalFormatting>
  <conditionalFormatting sqref="E258:P258">
    <cfRule type="containsBlanks" dxfId="6372" priority="1436" stopIfTrue="1">
      <formula>LEN(TRIM(E258))=0</formula>
    </cfRule>
    <cfRule type="cellIs" dxfId="6371" priority="1437" stopIfTrue="1" operator="between">
      <formula>80.1</formula>
      <formula>100</formula>
    </cfRule>
    <cfRule type="cellIs" dxfId="6370" priority="1438" stopIfTrue="1" operator="between">
      <formula>35.1</formula>
      <formula>80</formula>
    </cfRule>
    <cfRule type="cellIs" dxfId="6369" priority="1439" stopIfTrue="1" operator="between">
      <formula>14.1</formula>
      <formula>35</formula>
    </cfRule>
    <cfRule type="cellIs" dxfId="6368" priority="1440" stopIfTrue="1" operator="between">
      <formula>5.1</formula>
      <formula>14</formula>
    </cfRule>
    <cfRule type="cellIs" dxfId="6367" priority="1441" stopIfTrue="1" operator="between">
      <formula>0</formula>
      <formula>5</formula>
    </cfRule>
    <cfRule type="containsBlanks" dxfId="6366" priority="1442" stopIfTrue="1">
      <formula>LEN(TRIM(E258))=0</formula>
    </cfRule>
  </conditionalFormatting>
  <conditionalFormatting sqref="E257:P257">
    <cfRule type="containsBlanks" dxfId="6365" priority="1429" stopIfTrue="1">
      <formula>LEN(TRIM(E257))=0</formula>
    </cfRule>
    <cfRule type="cellIs" dxfId="6364" priority="1430" stopIfTrue="1" operator="between">
      <formula>80.1</formula>
      <formula>100</formula>
    </cfRule>
    <cfRule type="cellIs" dxfId="6363" priority="1431" stopIfTrue="1" operator="between">
      <formula>35.1</formula>
      <formula>80</formula>
    </cfRule>
    <cfRule type="cellIs" dxfId="6362" priority="1432" stopIfTrue="1" operator="between">
      <formula>14.1</formula>
      <formula>35</formula>
    </cfRule>
    <cfRule type="cellIs" dxfId="6361" priority="1433" stopIfTrue="1" operator="between">
      <formula>5.1</formula>
      <formula>14</formula>
    </cfRule>
    <cfRule type="cellIs" dxfId="6360" priority="1434" stopIfTrue="1" operator="between">
      <formula>0</formula>
      <formula>5</formula>
    </cfRule>
    <cfRule type="containsBlanks" dxfId="6359" priority="1435" stopIfTrue="1">
      <formula>LEN(TRIM(E257))=0</formula>
    </cfRule>
  </conditionalFormatting>
  <conditionalFormatting sqref="E259:P259">
    <cfRule type="containsBlanks" dxfId="6358" priority="1422" stopIfTrue="1">
      <formula>LEN(TRIM(E259))=0</formula>
    </cfRule>
    <cfRule type="cellIs" dxfId="6357" priority="1423" stopIfTrue="1" operator="between">
      <formula>80.1</formula>
      <formula>100</formula>
    </cfRule>
    <cfRule type="cellIs" dxfId="6356" priority="1424" stopIfTrue="1" operator="between">
      <formula>35.1</formula>
      <formula>80</formula>
    </cfRule>
    <cfRule type="cellIs" dxfId="6355" priority="1425" stopIfTrue="1" operator="between">
      <formula>14.1</formula>
      <formula>35</formula>
    </cfRule>
    <cfRule type="cellIs" dxfId="6354" priority="1426" stopIfTrue="1" operator="between">
      <formula>5.1</formula>
      <formula>14</formula>
    </cfRule>
    <cfRule type="cellIs" dxfId="6353" priority="1427" stopIfTrue="1" operator="between">
      <formula>0</formula>
      <formula>5</formula>
    </cfRule>
    <cfRule type="containsBlanks" dxfId="6352" priority="1428" stopIfTrue="1">
      <formula>LEN(TRIM(E259))=0</formula>
    </cfRule>
  </conditionalFormatting>
  <conditionalFormatting sqref="E255:P255">
    <cfRule type="containsBlanks" dxfId="6351" priority="1415" stopIfTrue="1">
      <formula>LEN(TRIM(E255))=0</formula>
    </cfRule>
    <cfRule type="cellIs" dxfId="6350" priority="1416" stopIfTrue="1" operator="between">
      <formula>80.1</formula>
      <formula>100</formula>
    </cfRule>
    <cfRule type="cellIs" dxfId="6349" priority="1417" stopIfTrue="1" operator="between">
      <formula>35.1</formula>
      <formula>80</formula>
    </cfRule>
    <cfRule type="cellIs" dxfId="6348" priority="1418" stopIfTrue="1" operator="between">
      <formula>14.1</formula>
      <formula>35</formula>
    </cfRule>
    <cfRule type="cellIs" dxfId="6347" priority="1419" stopIfTrue="1" operator="between">
      <formula>5.1</formula>
      <formula>14</formula>
    </cfRule>
    <cfRule type="cellIs" dxfId="6346" priority="1420" stopIfTrue="1" operator="between">
      <formula>0</formula>
      <formula>5</formula>
    </cfRule>
    <cfRule type="containsBlanks" dxfId="6345" priority="1421" stopIfTrue="1">
      <formula>LEN(TRIM(E255))=0</formula>
    </cfRule>
  </conditionalFormatting>
  <conditionalFormatting sqref="E251:P254">
    <cfRule type="containsBlanks" dxfId="6344" priority="1408" stopIfTrue="1">
      <formula>LEN(TRIM(E251))=0</formula>
    </cfRule>
    <cfRule type="cellIs" dxfId="6343" priority="1409" stopIfTrue="1" operator="between">
      <formula>80.1</formula>
      <formula>100</formula>
    </cfRule>
    <cfRule type="cellIs" dxfId="6342" priority="1410" stopIfTrue="1" operator="between">
      <formula>35.1</formula>
      <formula>80</formula>
    </cfRule>
    <cfRule type="cellIs" dxfId="6341" priority="1411" stopIfTrue="1" operator="between">
      <formula>14.1</formula>
      <formula>35</formula>
    </cfRule>
    <cfRule type="cellIs" dxfId="6340" priority="1412" stopIfTrue="1" operator="between">
      <formula>5.1</formula>
      <formula>14</formula>
    </cfRule>
    <cfRule type="cellIs" dxfId="6339" priority="1413" stopIfTrue="1" operator="between">
      <formula>0</formula>
      <formula>5</formula>
    </cfRule>
    <cfRule type="containsBlanks" dxfId="6338" priority="1414" stopIfTrue="1">
      <formula>LEN(TRIM(E251))=0</formula>
    </cfRule>
  </conditionalFormatting>
  <conditionalFormatting sqref="E260:P262">
    <cfRule type="containsBlanks" dxfId="6337" priority="1401" stopIfTrue="1">
      <formula>LEN(TRIM(E260))=0</formula>
    </cfRule>
    <cfRule type="cellIs" dxfId="6336" priority="1402" stopIfTrue="1" operator="between">
      <formula>80.1</formula>
      <formula>100</formula>
    </cfRule>
    <cfRule type="cellIs" dxfId="6335" priority="1403" stopIfTrue="1" operator="between">
      <formula>35.1</formula>
      <formula>80</formula>
    </cfRule>
    <cfRule type="cellIs" dxfId="6334" priority="1404" stopIfTrue="1" operator="between">
      <formula>14.1</formula>
      <formula>35</formula>
    </cfRule>
    <cfRule type="cellIs" dxfId="6333" priority="1405" stopIfTrue="1" operator="between">
      <formula>5.1</formula>
      <formula>14</formula>
    </cfRule>
    <cfRule type="cellIs" dxfId="6332" priority="1406" stopIfTrue="1" operator="between">
      <formula>0</formula>
      <formula>5</formula>
    </cfRule>
    <cfRule type="containsBlanks" dxfId="6331" priority="1407" stopIfTrue="1">
      <formula>LEN(TRIM(E260))=0</formula>
    </cfRule>
  </conditionalFormatting>
  <conditionalFormatting sqref="E347:P347">
    <cfRule type="containsBlanks" dxfId="6330" priority="1121" stopIfTrue="1">
      <formula>LEN(TRIM(E347))=0</formula>
    </cfRule>
    <cfRule type="cellIs" dxfId="6329" priority="1122" stopIfTrue="1" operator="between">
      <formula>80.1</formula>
      <formula>100</formula>
    </cfRule>
    <cfRule type="cellIs" dxfId="6328" priority="1123" stopIfTrue="1" operator="between">
      <formula>35.1</formula>
      <formula>80</formula>
    </cfRule>
    <cfRule type="cellIs" dxfId="6327" priority="1124" stopIfTrue="1" operator="between">
      <formula>14.1</formula>
      <formula>35</formula>
    </cfRule>
    <cfRule type="cellIs" dxfId="6326" priority="1125" stopIfTrue="1" operator="between">
      <formula>5.1</formula>
      <formula>14</formula>
    </cfRule>
    <cfRule type="cellIs" dxfId="6325" priority="1126" stopIfTrue="1" operator="between">
      <formula>0</formula>
      <formula>5</formula>
    </cfRule>
    <cfRule type="containsBlanks" dxfId="6324" priority="1127" stopIfTrue="1">
      <formula>LEN(TRIM(E347))=0</formula>
    </cfRule>
  </conditionalFormatting>
  <conditionalFormatting sqref="E267:P275">
    <cfRule type="containsBlanks" dxfId="6323" priority="1394" stopIfTrue="1">
      <formula>LEN(TRIM(E267))=0</formula>
    </cfRule>
    <cfRule type="cellIs" dxfId="6322" priority="1395" stopIfTrue="1" operator="between">
      <formula>80.1</formula>
      <formula>100</formula>
    </cfRule>
    <cfRule type="cellIs" dxfId="6321" priority="1396" stopIfTrue="1" operator="between">
      <formula>35.1</formula>
      <formula>80</formula>
    </cfRule>
    <cfRule type="cellIs" dxfId="6320" priority="1397" stopIfTrue="1" operator="between">
      <formula>14.1</formula>
      <formula>35</formula>
    </cfRule>
    <cfRule type="cellIs" dxfId="6319" priority="1398" stopIfTrue="1" operator="between">
      <formula>5.1</formula>
      <formula>14</formula>
    </cfRule>
    <cfRule type="cellIs" dxfId="6318" priority="1399" stopIfTrue="1" operator="between">
      <formula>0</formula>
      <formula>5</formula>
    </cfRule>
    <cfRule type="containsBlanks" dxfId="6317" priority="1400" stopIfTrue="1">
      <formula>LEN(TRIM(E267))=0</formula>
    </cfRule>
  </conditionalFormatting>
  <conditionalFormatting sqref="E280:P282">
    <cfRule type="containsBlanks" dxfId="6316" priority="1387" stopIfTrue="1">
      <formula>LEN(TRIM(E280))=0</formula>
    </cfRule>
    <cfRule type="cellIs" dxfId="6315" priority="1388" stopIfTrue="1" operator="between">
      <formula>80.1</formula>
      <formula>100</formula>
    </cfRule>
    <cfRule type="cellIs" dxfId="6314" priority="1389" stopIfTrue="1" operator="between">
      <formula>35.1</formula>
      <formula>80</formula>
    </cfRule>
    <cfRule type="cellIs" dxfId="6313" priority="1390" stopIfTrue="1" operator="between">
      <formula>14.1</formula>
      <formula>35</formula>
    </cfRule>
    <cfRule type="cellIs" dxfId="6312" priority="1391" stopIfTrue="1" operator="between">
      <formula>5.1</formula>
      <formula>14</formula>
    </cfRule>
    <cfRule type="cellIs" dxfId="6311" priority="1392" stopIfTrue="1" operator="between">
      <formula>0</formula>
      <formula>5</formula>
    </cfRule>
    <cfRule type="containsBlanks" dxfId="6310" priority="1393" stopIfTrue="1">
      <formula>LEN(TRIM(E280))=0</formula>
    </cfRule>
  </conditionalFormatting>
  <conditionalFormatting sqref="E283:P283">
    <cfRule type="containsBlanks" dxfId="6309" priority="1380" stopIfTrue="1">
      <formula>LEN(TRIM(E283))=0</formula>
    </cfRule>
    <cfRule type="cellIs" dxfId="6308" priority="1381" stopIfTrue="1" operator="between">
      <formula>80.1</formula>
      <formula>100</formula>
    </cfRule>
    <cfRule type="cellIs" dxfId="6307" priority="1382" stopIfTrue="1" operator="between">
      <formula>35.1</formula>
      <formula>80</formula>
    </cfRule>
    <cfRule type="cellIs" dxfId="6306" priority="1383" stopIfTrue="1" operator="between">
      <formula>14.1</formula>
      <formula>35</formula>
    </cfRule>
    <cfRule type="cellIs" dxfId="6305" priority="1384" stopIfTrue="1" operator="between">
      <formula>5.1</formula>
      <formula>14</formula>
    </cfRule>
    <cfRule type="cellIs" dxfId="6304" priority="1385" stopIfTrue="1" operator="between">
      <formula>0</formula>
      <formula>5</formula>
    </cfRule>
    <cfRule type="containsBlanks" dxfId="6303" priority="1386" stopIfTrue="1">
      <formula>LEN(TRIM(E283))=0</formula>
    </cfRule>
  </conditionalFormatting>
  <conditionalFormatting sqref="E299:P299">
    <cfRule type="containsBlanks" dxfId="6302" priority="1373" stopIfTrue="1">
      <formula>LEN(TRIM(E299))=0</formula>
    </cfRule>
    <cfRule type="cellIs" dxfId="6301" priority="1374" stopIfTrue="1" operator="between">
      <formula>80.1</formula>
      <formula>100</formula>
    </cfRule>
    <cfRule type="cellIs" dxfId="6300" priority="1375" stopIfTrue="1" operator="between">
      <formula>35.1</formula>
      <formula>80</formula>
    </cfRule>
    <cfRule type="cellIs" dxfId="6299" priority="1376" stopIfTrue="1" operator="between">
      <formula>14.1</formula>
      <formula>35</formula>
    </cfRule>
    <cfRule type="cellIs" dxfId="6298" priority="1377" stopIfTrue="1" operator="between">
      <formula>5.1</formula>
      <formula>14</formula>
    </cfRule>
    <cfRule type="cellIs" dxfId="6297" priority="1378" stopIfTrue="1" operator="between">
      <formula>0</formula>
      <formula>5</formula>
    </cfRule>
    <cfRule type="containsBlanks" dxfId="6296" priority="1379" stopIfTrue="1">
      <formula>LEN(TRIM(E299))=0</formula>
    </cfRule>
  </conditionalFormatting>
  <conditionalFormatting sqref="E308:P308">
    <cfRule type="containsBlanks" dxfId="6295" priority="1366" stopIfTrue="1">
      <formula>LEN(TRIM(E308))=0</formula>
    </cfRule>
    <cfRule type="cellIs" dxfId="6294" priority="1367" stopIfTrue="1" operator="between">
      <formula>80.1</formula>
      <formula>100</formula>
    </cfRule>
    <cfRule type="cellIs" dxfId="6293" priority="1368" stopIfTrue="1" operator="between">
      <formula>35.1</formula>
      <formula>80</formula>
    </cfRule>
    <cfRule type="cellIs" dxfId="6292" priority="1369" stopIfTrue="1" operator="between">
      <formula>14.1</formula>
      <formula>35</formula>
    </cfRule>
    <cfRule type="cellIs" dxfId="6291" priority="1370" stopIfTrue="1" operator="between">
      <formula>5.1</formula>
      <formula>14</formula>
    </cfRule>
    <cfRule type="cellIs" dxfId="6290" priority="1371" stopIfTrue="1" operator="between">
      <formula>0</formula>
      <formula>5</formula>
    </cfRule>
    <cfRule type="containsBlanks" dxfId="6289" priority="1372" stopIfTrue="1">
      <formula>LEN(TRIM(E308))=0</formula>
    </cfRule>
  </conditionalFormatting>
  <conditionalFormatting sqref="E309:P309">
    <cfRule type="containsBlanks" dxfId="6288" priority="1359" stopIfTrue="1">
      <formula>LEN(TRIM(E309))=0</formula>
    </cfRule>
    <cfRule type="cellIs" dxfId="6287" priority="1360" stopIfTrue="1" operator="between">
      <formula>80.1</formula>
      <formula>100</formula>
    </cfRule>
    <cfRule type="cellIs" dxfId="6286" priority="1361" stopIfTrue="1" operator="between">
      <formula>35.1</formula>
      <formula>80</formula>
    </cfRule>
    <cfRule type="cellIs" dxfId="6285" priority="1362" stopIfTrue="1" operator="between">
      <formula>14.1</formula>
      <formula>35</formula>
    </cfRule>
    <cfRule type="cellIs" dxfId="6284" priority="1363" stopIfTrue="1" operator="between">
      <formula>5.1</formula>
      <formula>14</formula>
    </cfRule>
    <cfRule type="cellIs" dxfId="6283" priority="1364" stopIfTrue="1" operator="between">
      <formula>0</formula>
      <formula>5</formula>
    </cfRule>
    <cfRule type="containsBlanks" dxfId="6282" priority="1365" stopIfTrue="1">
      <formula>LEN(TRIM(E309))=0</formula>
    </cfRule>
  </conditionalFormatting>
  <conditionalFormatting sqref="E311:P311">
    <cfRule type="containsBlanks" dxfId="6281" priority="1352" stopIfTrue="1">
      <formula>LEN(TRIM(E311))=0</formula>
    </cfRule>
    <cfRule type="cellIs" dxfId="6280" priority="1353" stopIfTrue="1" operator="between">
      <formula>80.1</formula>
      <formula>100</formula>
    </cfRule>
    <cfRule type="cellIs" dxfId="6279" priority="1354" stopIfTrue="1" operator="between">
      <formula>35.1</formula>
      <formula>80</formula>
    </cfRule>
    <cfRule type="cellIs" dxfId="6278" priority="1355" stopIfTrue="1" operator="between">
      <formula>14.1</formula>
      <formula>35</formula>
    </cfRule>
    <cfRule type="cellIs" dxfId="6277" priority="1356" stopIfTrue="1" operator="between">
      <formula>5.1</formula>
      <formula>14</formula>
    </cfRule>
    <cfRule type="cellIs" dxfId="6276" priority="1357" stopIfTrue="1" operator="between">
      <formula>0</formula>
      <formula>5</formula>
    </cfRule>
    <cfRule type="containsBlanks" dxfId="6275" priority="1358" stopIfTrue="1">
      <formula>LEN(TRIM(E311))=0</formula>
    </cfRule>
  </conditionalFormatting>
  <conditionalFormatting sqref="E312:P312">
    <cfRule type="containsBlanks" dxfId="6274" priority="1345" stopIfTrue="1">
      <formula>LEN(TRIM(E312))=0</formula>
    </cfRule>
    <cfRule type="cellIs" dxfId="6273" priority="1346" stopIfTrue="1" operator="between">
      <formula>80.1</formula>
      <formula>100</formula>
    </cfRule>
    <cfRule type="cellIs" dxfId="6272" priority="1347" stopIfTrue="1" operator="between">
      <formula>35.1</formula>
      <formula>80</formula>
    </cfRule>
    <cfRule type="cellIs" dxfId="6271" priority="1348" stopIfTrue="1" operator="between">
      <formula>14.1</formula>
      <formula>35</formula>
    </cfRule>
    <cfRule type="cellIs" dxfId="6270" priority="1349" stopIfTrue="1" operator="between">
      <formula>5.1</formula>
      <formula>14</formula>
    </cfRule>
    <cfRule type="cellIs" dxfId="6269" priority="1350" stopIfTrue="1" operator="between">
      <formula>0</formula>
      <formula>5</formula>
    </cfRule>
    <cfRule type="containsBlanks" dxfId="6268" priority="1351" stopIfTrue="1">
      <formula>LEN(TRIM(E312))=0</formula>
    </cfRule>
  </conditionalFormatting>
  <conditionalFormatting sqref="E313:P313">
    <cfRule type="containsBlanks" dxfId="6267" priority="1338" stopIfTrue="1">
      <formula>LEN(TRIM(E313))=0</formula>
    </cfRule>
    <cfRule type="cellIs" dxfId="6266" priority="1339" stopIfTrue="1" operator="between">
      <formula>80.1</formula>
      <formula>100</formula>
    </cfRule>
    <cfRule type="cellIs" dxfId="6265" priority="1340" stopIfTrue="1" operator="between">
      <formula>35.1</formula>
      <formula>80</formula>
    </cfRule>
    <cfRule type="cellIs" dxfId="6264" priority="1341" stopIfTrue="1" operator="between">
      <formula>14.1</formula>
      <formula>35</formula>
    </cfRule>
    <cfRule type="cellIs" dxfId="6263" priority="1342" stopIfTrue="1" operator="between">
      <formula>5.1</formula>
      <formula>14</formula>
    </cfRule>
    <cfRule type="cellIs" dxfId="6262" priority="1343" stopIfTrue="1" operator="between">
      <formula>0</formula>
      <formula>5</formula>
    </cfRule>
    <cfRule type="containsBlanks" dxfId="6261" priority="1344" stopIfTrue="1">
      <formula>LEN(TRIM(E313))=0</formula>
    </cfRule>
  </conditionalFormatting>
  <conditionalFormatting sqref="E316:P316">
    <cfRule type="containsBlanks" dxfId="6260" priority="1331" stopIfTrue="1">
      <formula>LEN(TRIM(E316))=0</formula>
    </cfRule>
    <cfRule type="cellIs" dxfId="6259" priority="1332" stopIfTrue="1" operator="between">
      <formula>80.1</formula>
      <formula>100</formula>
    </cfRule>
    <cfRule type="cellIs" dxfId="6258" priority="1333" stopIfTrue="1" operator="between">
      <formula>35.1</formula>
      <formula>80</formula>
    </cfRule>
    <cfRule type="cellIs" dxfId="6257" priority="1334" stopIfTrue="1" operator="between">
      <formula>14.1</formula>
      <formula>35</formula>
    </cfRule>
    <cfRule type="cellIs" dxfId="6256" priority="1335" stopIfTrue="1" operator="between">
      <formula>5.1</formula>
      <formula>14</formula>
    </cfRule>
    <cfRule type="cellIs" dxfId="6255" priority="1336" stopIfTrue="1" operator="between">
      <formula>0</formula>
      <formula>5</formula>
    </cfRule>
    <cfRule type="containsBlanks" dxfId="6254" priority="1337" stopIfTrue="1">
      <formula>LEN(TRIM(E316))=0</formula>
    </cfRule>
  </conditionalFormatting>
  <conditionalFormatting sqref="E317:P317">
    <cfRule type="containsBlanks" dxfId="6253" priority="1324" stopIfTrue="1">
      <formula>LEN(TRIM(E317))=0</formula>
    </cfRule>
    <cfRule type="cellIs" dxfId="6252" priority="1325" stopIfTrue="1" operator="between">
      <formula>80.1</formula>
      <formula>100</formula>
    </cfRule>
    <cfRule type="cellIs" dxfId="6251" priority="1326" stopIfTrue="1" operator="between">
      <formula>35.1</formula>
      <formula>80</formula>
    </cfRule>
    <cfRule type="cellIs" dxfId="6250" priority="1327" stopIfTrue="1" operator="between">
      <formula>14.1</formula>
      <formula>35</formula>
    </cfRule>
    <cfRule type="cellIs" dxfId="6249" priority="1328" stopIfTrue="1" operator="between">
      <formula>5.1</formula>
      <formula>14</formula>
    </cfRule>
    <cfRule type="cellIs" dxfId="6248" priority="1329" stopIfTrue="1" operator="between">
      <formula>0</formula>
      <formula>5</formula>
    </cfRule>
    <cfRule type="containsBlanks" dxfId="6247" priority="1330" stopIfTrue="1">
      <formula>LEN(TRIM(E317))=0</formula>
    </cfRule>
  </conditionalFormatting>
  <conditionalFormatting sqref="E318:P318">
    <cfRule type="containsBlanks" dxfId="6246" priority="1317" stopIfTrue="1">
      <formula>LEN(TRIM(E318))=0</formula>
    </cfRule>
    <cfRule type="cellIs" dxfId="6245" priority="1318" stopIfTrue="1" operator="between">
      <formula>80.1</formula>
      <formula>100</formula>
    </cfRule>
    <cfRule type="cellIs" dxfId="6244" priority="1319" stopIfTrue="1" operator="between">
      <formula>35.1</formula>
      <formula>80</formula>
    </cfRule>
    <cfRule type="cellIs" dxfId="6243" priority="1320" stopIfTrue="1" operator="between">
      <formula>14.1</formula>
      <formula>35</formula>
    </cfRule>
    <cfRule type="cellIs" dxfId="6242" priority="1321" stopIfTrue="1" operator="between">
      <formula>5.1</formula>
      <formula>14</formula>
    </cfRule>
    <cfRule type="cellIs" dxfId="6241" priority="1322" stopIfTrue="1" operator="between">
      <formula>0</formula>
      <formula>5</formula>
    </cfRule>
    <cfRule type="containsBlanks" dxfId="6240" priority="1323" stopIfTrue="1">
      <formula>LEN(TRIM(E318))=0</formula>
    </cfRule>
  </conditionalFormatting>
  <conditionalFormatting sqref="E319:P325">
    <cfRule type="containsBlanks" dxfId="6239" priority="1310" stopIfTrue="1">
      <formula>LEN(TRIM(E319))=0</formula>
    </cfRule>
    <cfRule type="cellIs" dxfId="6238" priority="1311" stopIfTrue="1" operator="between">
      <formula>80.1</formula>
      <formula>100</formula>
    </cfRule>
    <cfRule type="cellIs" dxfId="6237" priority="1312" stopIfTrue="1" operator="between">
      <formula>35.1</formula>
      <formula>80</formula>
    </cfRule>
    <cfRule type="cellIs" dxfId="6236" priority="1313" stopIfTrue="1" operator="between">
      <formula>14.1</formula>
      <formula>35</formula>
    </cfRule>
    <cfRule type="cellIs" dxfId="6235" priority="1314" stopIfTrue="1" operator="between">
      <formula>5.1</formula>
      <formula>14</formula>
    </cfRule>
    <cfRule type="cellIs" dxfId="6234" priority="1315" stopIfTrue="1" operator="between">
      <formula>0</formula>
      <formula>5</formula>
    </cfRule>
    <cfRule type="containsBlanks" dxfId="6233" priority="1316" stopIfTrue="1">
      <formula>LEN(TRIM(E319))=0</formula>
    </cfRule>
  </conditionalFormatting>
  <conditionalFormatting sqref="E326:N331">
    <cfRule type="containsBlanks" dxfId="6232" priority="1303" stopIfTrue="1">
      <formula>LEN(TRIM(E326))=0</formula>
    </cfRule>
    <cfRule type="cellIs" dxfId="6231" priority="1304" stopIfTrue="1" operator="between">
      <formula>80.1</formula>
      <formula>100</formula>
    </cfRule>
    <cfRule type="cellIs" dxfId="6230" priority="1305" stopIfTrue="1" operator="between">
      <formula>35.1</formula>
      <formula>80</formula>
    </cfRule>
    <cfRule type="cellIs" dxfId="6229" priority="1306" stopIfTrue="1" operator="between">
      <formula>14.1</formula>
      <formula>35</formula>
    </cfRule>
    <cfRule type="cellIs" dxfId="6228" priority="1307" stopIfTrue="1" operator="between">
      <formula>5.1</formula>
      <formula>14</formula>
    </cfRule>
    <cfRule type="cellIs" dxfId="6227" priority="1308" stopIfTrue="1" operator="between">
      <formula>0</formula>
      <formula>5</formula>
    </cfRule>
    <cfRule type="containsBlanks" dxfId="6226" priority="1309" stopIfTrue="1">
      <formula>LEN(TRIM(E326))=0</formula>
    </cfRule>
  </conditionalFormatting>
  <conditionalFormatting sqref="E338:P338">
    <cfRule type="containsBlanks" dxfId="6225" priority="1296" stopIfTrue="1">
      <formula>LEN(TRIM(E338))=0</formula>
    </cfRule>
    <cfRule type="cellIs" dxfId="6224" priority="1297" stopIfTrue="1" operator="between">
      <formula>80.1</formula>
      <formula>100</formula>
    </cfRule>
    <cfRule type="cellIs" dxfId="6223" priority="1298" stopIfTrue="1" operator="between">
      <formula>35.1</formula>
      <formula>80</formula>
    </cfRule>
    <cfRule type="cellIs" dxfId="6222" priority="1299" stopIfTrue="1" operator="between">
      <formula>14.1</formula>
      <formula>35</formula>
    </cfRule>
    <cfRule type="cellIs" dxfId="6221" priority="1300" stopIfTrue="1" operator="between">
      <formula>5.1</formula>
      <formula>14</formula>
    </cfRule>
    <cfRule type="cellIs" dxfId="6220" priority="1301" stopIfTrue="1" operator="between">
      <formula>0</formula>
      <formula>5</formula>
    </cfRule>
    <cfRule type="containsBlanks" dxfId="6219" priority="1302" stopIfTrue="1">
      <formula>LEN(TRIM(E338))=0</formula>
    </cfRule>
  </conditionalFormatting>
  <conditionalFormatting sqref="E340:P340">
    <cfRule type="containsBlanks" dxfId="6218" priority="1289" stopIfTrue="1">
      <formula>LEN(TRIM(E340))=0</formula>
    </cfRule>
    <cfRule type="cellIs" dxfId="6217" priority="1290" stopIfTrue="1" operator="between">
      <formula>80.1</formula>
      <formula>100</formula>
    </cfRule>
    <cfRule type="cellIs" dxfId="6216" priority="1291" stopIfTrue="1" operator="between">
      <formula>35.1</formula>
      <formula>80</formula>
    </cfRule>
    <cfRule type="cellIs" dxfId="6215" priority="1292" stopIfTrue="1" operator="between">
      <formula>14.1</formula>
      <formula>35</formula>
    </cfRule>
    <cfRule type="cellIs" dxfId="6214" priority="1293" stopIfTrue="1" operator="between">
      <formula>5.1</formula>
      <formula>14</formula>
    </cfRule>
    <cfRule type="cellIs" dxfId="6213" priority="1294" stopIfTrue="1" operator="between">
      <formula>0</formula>
      <formula>5</formula>
    </cfRule>
    <cfRule type="containsBlanks" dxfId="6212" priority="1295" stopIfTrue="1">
      <formula>LEN(TRIM(E340))=0</formula>
    </cfRule>
  </conditionalFormatting>
  <conditionalFormatting sqref="E346:P346">
    <cfRule type="containsBlanks" dxfId="6211" priority="1282" stopIfTrue="1">
      <formula>LEN(TRIM(E346))=0</formula>
    </cfRule>
    <cfRule type="cellIs" dxfId="6210" priority="1283" stopIfTrue="1" operator="between">
      <formula>80.1</formula>
      <formula>100</formula>
    </cfRule>
    <cfRule type="cellIs" dxfId="6209" priority="1284" stopIfTrue="1" operator="between">
      <formula>35.1</formula>
      <formula>80</formula>
    </cfRule>
    <cfRule type="cellIs" dxfId="6208" priority="1285" stopIfTrue="1" operator="between">
      <formula>14.1</formula>
      <formula>35</formula>
    </cfRule>
    <cfRule type="cellIs" dxfId="6207" priority="1286" stopIfTrue="1" operator="between">
      <formula>5.1</formula>
      <formula>14</formula>
    </cfRule>
    <cfRule type="cellIs" dxfId="6206" priority="1287" stopIfTrue="1" operator="between">
      <formula>0</formula>
      <formula>5</formula>
    </cfRule>
    <cfRule type="containsBlanks" dxfId="6205" priority="1288" stopIfTrue="1">
      <formula>LEN(TRIM(E346))=0</formula>
    </cfRule>
  </conditionalFormatting>
  <conditionalFormatting sqref="E336:P336">
    <cfRule type="containsBlanks" dxfId="6204" priority="1275" stopIfTrue="1">
      <formula>LEN(TRIM(E336))=0</formula>
    </cfRule>
    <cfRule type="cellIs" dxfId="6203" priority="1276" stopIfTrue="1" operator="between">
      <formula>80.1</formula>
      <formula>100</formula>
    </cfRule>
    <cfRule type="cellIs" dxfId="6202" priority="1277" stopIfTrue="1" operator="between">
      <formula>35.1</formula>
      <formula>80</formula>
    </cfRule>
    <cfRule type="cellIs" dxfId="6201" priority="1278" stopIfTrue="1" operator="between">
      <formula>14.1</formula>
      <formula>35</formula>
    </cfRule>
    <cfRule type="cellIs" dxfId="6200" priority="1279" stopIfTrue="1" operator="between">
      <formula>5.1</formula>
      <formula>14</formula>
    </cfRule>
    <cfRule type="cellIs" dxfId="6199" priority="1280" stopIfTrue="1" operator="between">
      <formula>0</formula>
      <formula>5</formula>
    </cfRule>
    <cfRule type="containsBlanks" dxfId="6198" priority="1281" stopIfTrue="1">
      <formula>LEN(TRIM(E336))=0</formula>
    </cfRule>
  </conditionalFormatting>
  <conditionalFormatting sqref="E345:P345">
    <cfRule type="containsBlanks" dxfId="6197" priority="1268" stopIfTrue="1">
      <formula>LEN(TRIM(E345))=0</formula>
    </cfRule>
    <cfRule type="cellIs" dxfId="6196" priority="1269" stopIfTrue="1" operator="between">
      <formula>80.1</formula>
      <formula>100</formula>
    </cfRule>
    <cfRule type="cellIs" dxfId="6195" priority="1270" stopIfTrue="1" operator="between">
      <formula>35.1</formula>
      <formula>80</formula>
    </cfRule>
    <cfRule type="cellIs" dxfId="6194" priority="1271" stopIfTrue="1" operator="between">
      <formula>14.1</formula>
      <formula>35</formula>
    </cfRule>
    <cfRule type="cellIs" dxfId="6193" priority="1272" stopIfTrue="1" operator="between">
      <formula>5.1</formula>
      <formula>14</formula>
    </cfRule>
    <cfRule type="cellIs" dxfId="6192" priority="1273" stopIfTrue="1" operator="between">
      <formula>0</formula>
      <formula>5</formula>
    </cfRule>
    <cfRule type="containsBlanks" dxfId="6191" priority="1274" stopIfTrue="1">
      <formula>LEN(TRIM(E345))=0</formula>
    </cfRule>
  </conditionalFormatting>
  <conditionalFormatting sqref="E342:P342">
    <cfRule type="containsBlanks" dxfId="6190" priority="1261" stopIfTrue="1">
      <formula>LEN(TRIM(E342))=0</formula>
    </cfRule>
    <cfRule type="cellIs" dxfId="6189" priority="1262" stopIfTrue="1" operator="between">
      <formula>80.1</formula>
      <formula>100</formula>
    </cfRule>
    <cfRule type="cellIs" dxfId="6188" priority="1263" stopIfTrue="1" operator="between">
      <formula>35.1</formula>
      <formula>80</formula>
    </cfRule>
    <cfRule type="cellIs" dxfId="6187" priority="1264" stopIfTrue="1" operator="between">
      <formula>14.1</formula>
      <formula>35</formula>
    </cfRule>
    <cfRule type="cellIs" dxfId="6186" priority="1265" stopIfTrue="1" operator="between">
      <formula>5.1</formula>
      <formula>14</formula>
    </cfRule>
    <cfRule type="cellIs" dxfId="6185" priority="1266" stopIfTrue="1" operator="between">
      <formula>0</formula>
      <formula>5</formula>
    </cfRule>
    <cfRule type="containsBlanks" dxfId="6184" priority="1267" stopIfTrue="1">
      <formula>LEN(TRIM(E342))=0</formula>
    </cfRule>
  </conditionalFormatting>
  <conditionalFormatting sqref="K428:P428">
    <cfRule type="containsBlanks" dxfId="6183" priority="358" stopIfTrue="1">
      <formula>LEN(TRIM(K428))=0</formula>
    </cfRule>
    <cfRule type="cellIs" dxfId="6182" priority="359" stopIfTrue="1" operator="between">
      <formula>80.1</formula>
      <formula>100</formula>
    </cfRule>
    <cfRule type="cellIs" dxfId="6181" priority="360" stopIfTrue="1" operator="between">
      <formula>35.1</formula>
      <formula>80</formula>
    </cfRule>
    <cfRule type="cellIs" dxfId="6180" priority="361" stopIfTrue="1" operator="between">
      <formula>14.1</formula>
      <formula>35</formula>
    </cfRule>
    <cfRule type="cellIs" dxfId="6179" priority="362" stopIfTrue="1" operator="between">
      <formula>5.1</formula>
      <formula>14</formula>
    </cfRule>
    <cfRule type="cellIs" dxfId="6178" priority="363" stopIfTrue="1" operator="between">
      <formula>0</formula>
      <formula>5</formula>
    </cfRule>
    <cfRule type="containsBlanks" dxfId="6177" priority="364" stopIfTrue="1">
      <formula>LEN(TRIM(K428))=0</formula>
    </cfRule>
  </conditionalFormatting>
  <conditionalFormatting sqref="E343:P343">
    <cfRule type="containsBlanks" dxfId="6176" priority="1240" stopIfTrue="1">
      <formula>LEN(TRIM(E343))=0</formula>
    </cfRule>
    <cfRule type="cellIs" dxfId="6175" priority="1241" stopIfTrue="1" operator="between">
      <formula>80.1</formula>
      <formula>100</formula>
    </cfRule>
    <cfRule type="cellIs" dxfId="6174" priority="1242" stopIfTrue="1" operator="between">
      <formula>35.1</formula>
      <formula>80</formula>
    </cfRule>
    <cfRule type="cellIs" dxfId="6173" priority="1243" stopIfTrue="1" operator="between">
      <formula>14.1</formula>
      <formula>35</formula>
    </cfRule>
    <cfRule type="cellIs" dxfId="6172" priority="1244" stopIfTrue="1" operator="between">
      <formula>5.1</formula>
      <formula>14</formula>
    </cfRule>
    <cfRule type="cellIs" dxfId="6171" priority="1245" stopIfTrue="1" operator="between">
      <formula>0</formula>
      <formula>5</formula>
    </cfRule>
    <cfRule type="containsBlanks" dxfId="6170" priority="1246" stopIfTrue="1">
      <formula>LEN(TRIM(E343))=0</formula>
    </cfRule>
  </conditionalFormatting>
  <conditionalFormatting sqref="E356:P356">
    <cfRule type="containsBlanks" dxfId="6169" priority="1233" stopIfTrue="1">
      <formula>LEN(TRIM(E356))=0</formula>
    </cfRule>
    <cfRule type="cellIs" dxfId="6168" priority="1234" stopIfTrue="1" operator="between">
      <formula>80.1</formula>
      <formula>100</formula>
    </cfRule>
    <cfRule type="cellIs" dxfId="6167" priority="1235" stopIfTrue="1" operator="between">
      <formula>35.1</formula>
      <formula>80</formula>
    </cfRule>
    <cfRule type="cellIs" dxfId="6166" priority="1236" stopIfTrue="1" operator="between">
      <formula>14.1</formula>
      <formula>35</formula>
    </cfRule>
    <cfRule type="cellIs" dxfId="6165" priority="1237" stopIfTrue="1" operator="between">
      <formula>5.1</formula>
      <formula>14</formula>
    </cfRule>
    <cfRule type="cellIs" dxfId="6164" priority="1238" stopIfTrue="1" operator="between">
      <formula>0</formula>
      <formula>5</formula>
    </cfRule>
    <cfRule type="containsBlanks" dxfId="6163" priority="1239" stopIfTrue="1">
      <formula>LEN(TRIM(E356))=0</formula>
    </cfRule>
  </conditionalFormatting>
  <conditionalFormatting sqref="E333:P333">
    <cfRule type="containsBlanks" dxfId="6162" priority="1226" stopIfTrue="1">
      <formula>LEN(TRIM(E333))=0</formula>
    </cfRule>
    <cfRule type="cellIs" dxfId="6161" priority="1227" stopIfTrue="1" operator="between">
      <formula>80.1</formula>
      <formula>100</formula>
    </cfRule>
    <cfRule type="cellIs" dxfId="6160" priority="1228" stopIfTrue="1" operator="between">
      <formula>35.1</formula>
      <formula>80</formula>
    </cfRule>
    <cfRule type="cellIs" dxfId="6159" priority="1229" stopIfTrue="1" operator="between">
      <formula>14.1</formula>
      <formula>35</formula>
    </cfRule>
    <cfRule type="cellIs" dxfId="6158" priority="1230" stopIfTrue="1" operator="between">
      <formula>5.1</formula>
      <formula>14</formula>
    </cfRule>
    <cfRule type="cellIs" dxfId="6157" priority="1231" stopIfTrue="1" operator="between">
      <formula>0</formula>
      <formula>5</formula>
    </cfRule>
    <cfRule type="containsBlanks" dxfId="6156" priority="1232" stopIfTrue="1">
      <formula>LEN(TRIM(E333))=0</formula>
    </cfRule>
  </conditionalFormatting>
  <conditionalFormatting sqref="E341:P341">
    <cfRule type="containsBlanks" dxfId="6155" priority="1219" stopIfTrue="1">
      <formula>LEN(TRIM(E341))=0</formula>
    </cfRule>
    <cfRule type="cellIs" dxfId="6154" priority="1220" stopIfTrue="1" operator="between">
      <formula>80.1</formula>
      <formula>100</formula>
    </cfRule>
    <cfRule type="cellIs" dxfId="6153" priority="1221" stopIfTrue="1" operator="between">
      <formula>35.1</formula>
      <formula>80</formula>
    </cfRule>
    <cfRule type="cellIs" dxfId="6152" priority="1222" stopIfTrue="1" operator="between">
      <formula>14.1</formula>
      <formula>35</formula>
    </cfRule>
    <cfRule type="cellIs" dxfId="6151" priority="1223" stopIfTrue="1" operator="between">
      <formula>5.1</formula>
      <formula>14</formula>
    </cfRule>
    <cfRule type="cellIs" dxfId="6150" priority="1224" stopIfTrue="1" operator="between">
      <formula>0</formula>
      <formula>5</formula>
    </cfRule>
    <cfRule type="containsBlanks" dxfId="6149" priority="1225" stopIfTrue="1">
      <formula>LEN(TRIM(E341))=0</formula>
    </cfRule>
  </conditionalFormatting>
  <conditionalFormatting sqref="E349:P349">
    <cfRule type="containsBlanks" dxfId="6148" priority="1212" stopIfTrue="1">
      <formula>LEN(TRIM(E349))=0</formula>
    </cfRule>
    <cfRule type="cellIs" dxfId="6147" priority="1213" stopIfTrue="1" operator="between">
      <formula>80.1</formula>
      <formula>100</formula>
    </cfRule>
    <cfRule type="cellIs" dxfId="6146" priority="1214" stopIfTrue="1" operator="between">
      <formula>35.1</formula>
      <formula>80</formula>
    </cfRule>
    <cfRule type="cellIs" dxfId="6145" priority="1215" stopIfTrue="1" operator="between">
      <formula>14.1</formula>
      <formula>35</formula>
    </cfRule>
    <cfRule type="cellIs" dxfId="6144" priority="1216" stopIfTrue="1" operator="between">
      <formula>5.1</formula>
      <formula>14</formula>
    </cfRule>
    <cfRule type="cellIs" dxfId="6143" priority="1217" stopIfTrue="1" operator="between">
      <formula>0</formula>
      <formula>5</formula>
    </cfRule>
    <cfRule type="containsBlanks" dxfId="6142" priority="1218" stopIfTrue="1">
      <formula>LEN(TRIM(E349))=0</formula>
    </cfRule>
  </conditionalFormatting>
  <conditionalFormatting sqref="E335:P335">
    <cfRule type="containsBlanks" dxfId="6141" priority="1205" stopIfTrue="1">
      <formula>LEN(TRIM(E335))=0</formula>
    </cfRule>
    <cfRule type="cellIs" dxfId="6140" priority="1206" stopIfTrue="1" operator="between">
      <formula>80.1</formula>
      <formula>100</formula>
    </cfRule>
    <cfRule type="cellIs" dxfId="6139" priority="1207" stopIfTrue="1" operator="between">
      <formula>35.1</formula>
      <formula>80</formula>
    </cfRule>
    <cfRule type="cellIs" dxfId="6138" priority="1208" stopIfTrue="1" operator="between">
      <formula>14.1</formula>
      <formula>35</formula>
    </cfRule>
    <cfRule type="cellIs" dxfId="6137" priority="1209" stopIfTrue="1" operator="between">
      <formula>5.1</formula>
      <formula>14</formula>
    </cfRule>
    <cfRule type="cellIs" dxfId="6136" priority="1210" stopIfTrue="1" operator="between">
      <formula>0</formula>
      <formula>5</formula>
    </cfRule>
    <cfRule type="containsBlanks" dxfId="6135" priority="1211" stopIfTrue="1">
      <formula>LEN(TRIM(E335))=0</formula>
    </cfRule>
  </conditionalFormatting>
  <conditionalFormatting sqref="E339:P339">
    <cfRule type="containsBlanks" dxfId="6134" priority="1198" stopIfTrue="1">
      <formula>LEN(TRIM(E339))=0</formula>
    </cfRule>
    <cfRule type="cellIs" dxfId="6133" priority="1199" stopIfTrue="1" operator="between">
      <formula>80.1</formula>
      <formula>100</formula>
    </cfRule>
    <cfRule type="cellIs" dxfId="6132" priority="1200" stopIfTrue="1" operator="between">
      <formula>35.1</formula>
      <formula>80</formula>
    </cfRule>
    <cfRule type="cellIs" dxfId="6131" priority="1201" stopIfTrue="1" operator="between">
      <formula>14.1</formula>
      <formula>35</formula>
    </cfRule>
    <cfRule type="cellIs" dxfId="6130" priority="1202" stopIfTrue="1" operator="between">
      <formula>5.1</formula>
      <formula>14</formula>
    </cfRule>
    <cfRule type="cellIs" dxfId="6129" priority="1203" stopIfTrue="1" operator="between">
      <formula>0</formula>
      <formula>5</formula>
    </cfRule>
    <cfRule type="containsBlanks" dxfId="6128" priority="1204" stopIfTrue="1">
      <formula>LEN(TRIM(E339))=0</formula>
    </cfRule>
  </conditionalFormatting>
  <conditionalFormatting sqref="E332:P332">
    <cfRule type="containsBlanks" dxfId="6127" priority="1191" stopIfTrue="1">
      <formula>LEN(TRIM(E332))=0</formula>
    </cfRule>
    <cfRule type="cellIs" dxfId="6126" priority="1192" stopIfTrue="1" operator="between">
      <formula>80.1</formula>
      <formula>100</formula>
    </cfRule>
    <cfRule type="cellIs" dxfId="6125" priority="1193" stopIfTrue="1" operator="between">
      <formula>35.1</formula>
      <formula>80</formula>
    </cfRule>
    <cfRule type="cellIs" dxfId="6124" priority="1194" stopIfTrue="1" operator="between">
      <formula>14.1</formula>
      <formula>35</formula>
    </cfRule>
    <cfRule type="cellIs" dxfId="6123" priority="1195" stopIfTrue="1" operator="between">
      <formula>5.1</formula>
      <formula>14</formula>
    </cfRule>
    <cfRule type="cellIs" dxfId="6122" priority="1196" stopIfTrue="1" operator="between">
      <formula>0</formula>
      <formula>5</formula>
    </cfRule>
    <cfRule type="containsBlanks" dxfId="6121" priority="1197" stopIfTrue="1">
      <formula>LEN(TRIM(E332))=0</formula>
    </cfRule>
  </conditionalFormatting>
  <conditionalFormatting sqref="E357:P357">
    <cfRule type="containsBlanks" dxfId="6120" priority="1184" stopIfTrue="1">
      <formula>LEN(TRIM(E357))=0</formula>
    </cfRule>
    <cfRule type="cellIs" dxfId="6119" priority="1185" stopIfTrue="1" operator="between">
      <formula>80.1</formula>
      <formula>100</formula>
    </cfRule>
    <cfRule type="cellIs" dxfId="6118" priority="1186" stopIfTrue="1" operator="between">
      <formula>35.1</formula>
      <formula>80</formula>
    </cfRule>
    <cfRule type="cellIs" dxfId="6117" priority="1187" stopIfTrue="1" operator="between">
      <formula>14.1</formula>
      <formula>35</formula>
    </cfRule>
    <cfRule type="cellIs" dxfId="6116" priority="1188" stopIfTrue="1" operator="between">
      <formula>5.1</formula>
      <formula>14</formula>
    </cfRule>
    <cfRule type="cellIs" dxfId="6115" priority="1189" stopIfTrue="1" operator="between">
      <formula>0</formula>
      <formula>5</formula>
    </cfRule>
    <cfRule type="containsBlanks" dxfId="6114" priority="1190" stopIfTrue="1">
      <formula>LEN(TRIM(E357))=0</formula>
    </cfRule>
  </conditionalFormatting>
  <conditionalFormatting sqref="E353:P353">
    <cfRule type="containsBlanks" dxfId="6113" priority="1177" stopIfTrue="1">
      <formula>LEN(TRIM(E353))=0</formula>
    </cfRule>
    <cfRule type="cellIs" dxfId="6112" priority="1178" stopIfTrue="1" operator="between">
      <formula>80.1</formula>
      <formula>100</formula>
    </cfRule>
    <cfRule type="cellIs" dxfId="6111" priority="1179" stopIfTrue="1" operator="between">
      <formula>35.1</formula>
      <formula>80</formula>
    </cfRule>
    <cfRule type="cellIs" dxfId="6110" priority="1180" stopIfTrue="1" operator="between">
      <formula>14.1</formula>
      <formula>35</formula>
    </cfRule>
    <cfRule type="cellIs" dxfId="6109" priority="1181" stopIfTrue="1" operator="between">
      <formula>5.1</formula>
      <formula>14</formula>
    </cfRule>
    <cfRule type="cellIs" dxfId="6108" priority="1182" stopIfTrue="1" operator="between">
      <formula>0</formula>
      <formula>5</formula>
    </cfRule>
    <cfRule type="containsBlanks" dxfId="6107" priority="1183" stopIfTrue="1">
      <formula>LEN(TRIM(E353))=0</formula>
    </cfRule>
  </conditionalFormatting>
  <conditionalFormatting sqref="E351:P351">
    <cfRule type="containsBlanks" dxfId="6106" priority="1170" stopIfTrue="1">
      <formula>LEN(TRIM(E351))=0</formula>
    </cfRule>
    <cfRule type="cellIs" dxfId="6105" priority="1171" stopIfTrue="1" operator="between">
      <formula>80.1</formula>
      <formula>100</formula>
    </cfRule>
    <cfRule type="cellIs" dxfId="6104" priority="1172" stopIfTrue="1" operator="between">
      <formula>35.1</formula>
      <formula>80</formula>
    </cfRule>
    <cfRule type="cellIs" dxfId="6103" priority="1173" stopIfTrue="1" operator="between">
      <formula>14.1</formula>
      <formula>35</formula>
    </cfRule>
    <cfRule type="cellIs" dxfId="6102" priority="1174" stopIfTrue="1" operator="between">
      <formula>5.1</formula>
      <formula>14</formula>
    </cfRule>
    <cfRule type="cellIs" dxfId="6101" priority="1175" stopIfTrue="1" operator="between">
      <formula>0</formula>
      <formula>5</formula>
    </cfRule>
    <cfRule type="containsBlanks" dxfId="6100" priority="1176" stopIfTrue="1">
      <formula>LEN(TRIM(E351))=0</formula>
    </cfRule>
  </conditionalFormatting>
  <conditionalFormatting sqref="E352:P352">
    <cfRule type="containsBlanks" dxfId="6099" priority="1163" stopIfTrue="1">
      <formula>LEN(TRIM(E352))=0</formula>
    </cfRule>
    <cfRule type="cellIs" dxfId="6098" priority="1164" stopIfTrue="1" operator="between">
      <formula>80.1</formula>
      <formula>100</formula>
    </cfRule>
    <cfRule type="cellIs" dxfId="6097" priority="1165" stopIfTrue="1" operator="between">
      <formula>35.1</formula>
      <formula>80</formula>
    </cfRule>
    <cfRule type="cellIs" dxfId="6096" priority="1166" stopIfTrue="1" operator="between">
      <formula>14.1</formula>
      <formula>35</formula>
    </cfRule>
    <cfRule type="cellIs" dxfId="6095" priority="1167" stopIfTrue="1" operator="between">
      <formula>5.1</formula>
      <formula>14</formula>
    </cfRule>
    <cfRule type="cellIs" dxfId="6094" priority="1168" stopIfTrue="1" operator="between">
      <formula>0</formula>
      <formula>5</formula>
    </cfRule>
    <cfRule type="containsBlanks" dxfId="6093" priority="1169" stopIfTrue="1">
      <formula>LEN(TRIM(E352))=0</formula>
    </cfRule>
  </conditionalFormatting>
  <conditionalFormatting sqref="E334:P334">
    <cfRule type="containsBlanks" dxfId="6092" priority="1156" stopIfTrue="1">
      <formula>LEN(TRIM(E334))=0</formula>
    </cfRule>
    <cfRule type="cellIs" dxfId="6091" priority="1157" stopIfTrue="1" operator="between">
      <formula>80.1</formula>
      <formula>100</formula>
    </cfRule>
    <cfRule type="cellIs" dxfId="6090" priority="1158" stopIfTrue="1" operator="between">
      <formula>35.1</formula>
      <formula>80</formula>
    </cfRule>
    <cfRule type="cellIs" dxfId="6089" priority="1159" stopIfTrue="1" operator="between">
      <formula>14.1</formula>
      <formula>35</formula>
    </cfRule>
    <cfRule type="cellIs" dxfId="6088" priority="1160" stopIfTrue="1" operator="between">
      <formula>5.1</formula>
      <formula>14</formula>
    </cfRule>
    <cfRule type="cellIs" dxfId="6087" priority="1161" stopIfTrue="1" operator="between">
      <formula>0</formula>
      <formula>5</formula>
    </cfRule>
    <cfRule type="containsBlanks" dxfId="6086" priority="1162" stopIfTrue="1">
      <formula>LEN(TRIM(E334))=0</formula>
    </cfRule>
  </conditionalFormatting>
  <conditionalFormatting sqref="E355:P355">
    <cfRule type="containsBlanks" dxfId="6085" priority="1149" stopIfTrue="1">
      <formula>LEN(TRIM(E355))=0</formula>
    </cfRule>
    <cfRule type="cellIs" dxfId="6084" priority="1150" stopIfTrue="1" operator="between">
      <formula>80.1</formula>
      <formula>100</formula>
    </cfRule>
    <cfRule type="cellIs" dxfId="6083" priority="1151" stopIfTrue="1" operator="between">
      <formula>35.1</formula>
      <formula>80</formula>
    </cfRule>
    <cfRule type="cellIs" dxfId="6082" priority="1152" stopIfTrue="1" operator="between">
      <formula>14.1</formula>
      <formula>35</formula>
    </cfRule>
    <cfRule type="cellIs" dxfId="6081" priority="1153" stopIfTrue="1" operator="between">
      <formula>5.1</formula>
      <formula>14</formula>
    </cfRule>
    <cfRule type="cellIs" dxfId="6080" priority="1154" stopIfTrue="1" operator="between">
      <formula>0</formula>
      <formula>5</formula>
    </cfRule>
    <cfRule type="containsBlanks" dxfId="6079" priority="1155" stopIfTrue="1">
      <formula>LEN(TRIM(E355))=0</formula>
    </cfRule>
  </conditionalFormatting>
  <conditionalFormatting sqref="E354:P354">
    <cfRule type="containsBlanks" dxfId="6078" priority="1142" stopIfTrue="1">
      <formula>LEN(TRIM(E354))=0</formula>
    </cfRule>
    <cfRule type="cellIs" dxfId="6077" priority="1143" stopIfTrue="1" operator="between">
      <formula>80.1</formula>
      <formula>100</formula>
    </cfRule>
    <cfRule type="cellIs" dxfId="6076" priority="1144" stopIfTrue="1" operator="between">
      <formula>35.1</formula>
      <formula>80</formula>
    </cfRule>
    <cfRule type="cellIs" dxfId="6075" priority="1145" stopIfTrue="1" operator="between">
      <formula>14.1</formula>
      <formula>35</formula>
    </cfRule>
    <cfRule type="cellIs" dxfId="6074" priority="1146" stopIfTrue="1" operator="between">
      <formula>5.1</formula>
      <formula>14</formula>
    </cfRule>
    <cfRule type="cellIs" dxfId="6073" priority="1147" stopIfTrue="1" operator="between">
      <formula>0</formula>
      <formula>5</formula>
    </cfRule>
    <cfRule type="containsBlanks" dxfId="6072" priority="1148" stopIfTrue="1">
      <formula>LEN(TRIM(E354))=0</formula>
    </cfRule>
  </conditionalFormatting>
  <conditionalFormatting sqref="E350:P350">
    <cfRule type="containsBlanks" dxfId="6071" priority="1135" stopIfTrue="1">
      <formula>LEN(TRIM(E350))=0</formula>
    </cfRule>
    <cfRule type="cellIs" dxfId="6070" priority="1136" stopIfTrue="1" operator="between">
      <formula>80.1</formula>
      <formula>100</formula>
    </cfRule>
    <cfRule type="cellIs" dxfId="6069" priority="1137" stopIfTrue="1" operator="between">
      <formula>35.1</formula>
      <formula>80</formula>
    </cfRule>
    <cfRule type="cellIs" dxfId="6068" priority="1138" stopIfTrue="1" operator="between">
      <formula>14.1</formula>
      <formula>35</formula>
    </cfRule>
    <cfRule type="cellIs" dxfId="6067" priority="1139" stopIfTrue="1" operator="between">
      <formula>5.1</formula>
      <formula>14</formula>
    </cfRule>
    <cfRule type="cellIs" dxfId="6066" priority="1140" stopIfTrue="1" operator="between">
      <formula>0</formula>
      <formula>5</formula>
    </cfRule>
    <cfRule type="containsBlanks" dxfId="6065" priority="1141" stopIfTrue="1">
      <formula>LEN(TRIM(E350))=0</formula>
    </cfRule>
  </conditionalFormatting>
  <conditionalFormatting sqref="E348:P348">
    <cfRule type="containsBlanks" dxfId="6064" priority="1128" stopIfTrue="1">
      <formula>LEN(TRIM(E348))=0</formula>
    </cfRule>
    <cfRule type="cellIs" dxfId="6063" priority="1129" stopIfTrue="1" operator="between">
      <formula>80.1</formula>
      <formula>100</formula>
    </cfRule>
    <cfRule type="cellIs" dxfId="6062" priority="1130" stopIfTrue="1" operator="between">
      <formula>35.1</formula>
      <formula>80</formula>
    </cfRule>
    <cfRule type="cellIs" dxfId="6061" priority="1131" stopIfTrue="1" operator="between">
      <formula>14.1</formula>
      <formula>35</formula>
    </cfRule>
    <cfRule type="cellIs" dxfId="6060" priority="1132" stopIfTrue="1" operator="between">
      <formula>5.1</formula>
      <formula>14</formula>
    </cfRule>
    <cfRule type="cellIs" dxfId="6059" priority="1133" stopIfTrue="1" operator="between">
      <formula>0</formula>
      <formula>5</formula>
    </cfRule>
    <cfRule type="containsBlanks" dxfId="6058" priority="1134" stopIfTrue="1">
      <formula>LEN(TRIM(E348))=0</formula>
    </cfRule>
  </conditionalFormatting>
  <conditionalFormatting sqref="E478:P478">
    <cfRule type="containsBlanks" dxfId="6057" priority="197" stopIfTrue="1">
      <formula>LEN(TRIM(E478))=0</formula>
    </cfRule>
    <cfRule type="cellIs" dxfId="6056" priority="198" stopIfTrue="1" operator="between">
      <formula>80.1</formula>
      <formula>100</formula>
    </cfRule>
    <cfRule type="cellIs" dxfId="6055" priority="199" stopIfTrue="1" operator="between">
      <formula>35.1</formula>
      <formula>80</formula>
    </cfRule>
    <cfRule type="cellIs" dxfId="6054" priority="200" stopIfTrue="1" operator="between">
      <formula>14.1</formula>
      <formula>35</formula>
    </cfRule>
    <cfRule type="cellIs" dxfId="6053" priority="201" stopIfTrue="1" operator="between">
      <formula>5.1</formula>
      <formula>14</formula>
    </cfRule>
    <cfRule type="cellIs" dxfId="6052" priority="202" stopIfTrue="1" operator="between">
      <formula>0</formula>
      <formula>5</formula>
    </cfRule>
    <cfRule type="containsBlanks" dxfId="6051" priority="203" stopIfTrue="1">
      <formula>LEN(TRIM(E478))=0</formula>
    </cfRule>
  </conditionalFormatting>
  <conditionalFormatting sqref="E358:P374 H375:P375 E375:F375 E376:P378">
    <cfRule type="containsBlanks" dxfId="6050" priority="1114" stopIfTrue="1">
      <formula>LEN(TRIM(E358))=0</formula>
    </cfRule>
    <cfRule type="cellIs" dxfId="6049" priority="1115" stopIfTrue="1" operator="between">
      <formula>80.1</formula>
      <formula>100</formula>
    </cfRule>
    <cfRule type="cellIs" dxfId="6048" priority="1116" stopIfTrue="1" operator="between">
      <formula>35.1</formula>
      <formula>80</formula>
    </cfRule>
    <cfRule type="cellIs" dxfId="6047" priority="1117" stopIfTrue="1" operator="between">
      <formula>14.1</formula>
      <formula>35</formula>
    </cfRule>
    <cfRule type="cellIs" dxfId="6046" priority="1118" stopIfTrue="1" operator="between">
      <formula>5.1</formula>
      <formula>14</formula>
    </cfRule>
    <cfRule type="cellIs" dxfId="6045" priority="1119" stopIfTrue="1" operator="between">
      <formula>0</formula>
      <formula>5</formula>
    </cfRule>
    <cfRule type="containsBlanks" dxfId="6044" priority="1120" stopIfTrue="1">
      <formula>LEN(TRIM(E358))=0</formula>
    </cfRule>
  </conditionalFormatting>
  <conditionalFormatting sqref="E380:P393">
    <cfRule type="containsBlanks" dxfId="6043" priority="1107" stopIfTrue="1">
      <formula>LEN(TRIM(E380))=0</formula>
    </cfRule>
    <cfRule type="cellIs" dxfId="6042" priority="1108" stopIfTrue="1" operator="between">
      <formula>80.1</formula>
      <formula>100</formula>
    </cfRule>
    <cfRule type="cellIs" dxfId="6041" priority="1109" stopIfTrue="1" operator="between">
      <formula>35.1</formula>
      <formula>80</formula>
    </cfRule>
    <cfRule type="cellIs" dxfId="6040" priority="1110" stopIfTrue="1" operator="between">
      <formula>14.1</formula>
      <formula>35</formula>
    </cfRule>
    <cfRule type="cellIs" dxfId="6039" priority="1111" stopIfTrue="1" operator="between">
      <formula>5.1</formula>
      <formula>14</formula>
    </cfRule>
    <cfRule type="cellIs" dxfId="6038" priority="1112" stopIfTrue="1" operator="between">
      <formula>0</formula>
      <formula>5</formula>
    </cfRule>
    <cfRule type="containsBlanks" dxfId="6037" priority="1113" stopIfTrue="1">
      <formula>LEN(TRIM(E380))=0</formula>
    </cfRule>
  </conditionalFormatting>
  <conditionalFormatting sqref="E395:P396">
    <cfRule type="containsBlanks" dxfId="6036" priority="1100" stopIfTrue="1">
      <formula>LEN(TRIM(E395))=0</formula>
    </cfRule>
    <cfRule type="cellIs" dxfId="6035" priority="1101" stopIfTrue="1" operator="between">
      <formula>80.1</formula>
      <formula>100</formula>
    </cfRule>
    <cfRule type="cellIs" dxfId="6034" priority="1102" stopIfTrue="1" operator="between">
      <formula>35.1</formula>
      <formula>80</formula>
    </cfRule>
    <cfRule type="cellIs" dxfId="6033" priority="1103" stopIfTrue="1" operator="between">
      <formula>14.1</formula>
      <formula>35</formula>
    </cfRule>
    <cfRule type="cellIs" dxfId="6032" priority="1104" stopIfTrue="1" operator="between">
      <formula>5.1</formula>
      <formula>14</formula>
    </cfRule>
    <cfRule type="cellIs" dxfId="6031" priority="1105" stopIfTrue="1" operator="between">
      <formula>0</formula>
      <formula>5</formula>
    </cfRule>
    <cfRule type="containsBlanks" dxfId="6030" priority="1106" stopIfTrue="1">
      <formula>LEN(TRIM(E395))=0</formula>
    </cfRule>
  </conditionalFormatting>
  <conditionalFormatting sqref="E398:P398">
    <cfRule type="containsBlanks" dxfId="6029" priority="1093" stopIfTrue="1">
      <formula>LEN(TRIM(E398))=0</formula>
    </cfRule>
    <cfRule type="cellIs" dxfId="6028" priority="1094" stopIfTrue="1" operator="between">
      <formula>80.1</formula>
      <formula>100</formula>
    </cfRule>
    <cfRule type="cellIs" dxfId="6027" priority="1095" stopIfTrue="1" operator="between">
      <formula>35.1</formula>
      <formula>80</formula>
    </cfRule>
    <cfRule type="cellIs" dxfId="6026" priority="1096" stopIfTrue="1" operator="between">
      <formula>14.1</formula>
      <formula>35</formula>
    </cfRule>
    <cfRule type="cellIs" dxfId="6025" priority="1097" stopIfTrue="1" operator="between">
      <formula>5.1</formula>
      <formula>14</formula>
    </cfRule>
    <cfRule type="cellIs" dxfId="6024" priority="1098" stopIfTrue="1" operator="between">
      <formula>0</formula>
      <formula>5</formula>
    </cfRule>
    <cfRule type="containsBlanks" dxfId="6023" priority="1099" stopIfTrue="1">
      <formula>LEN(TRIM(E398))=0</formula>
    </cfRule>
  </conditionalFormatting>
  <conditionalFormatting sqref="E337:P337">
    <cfRule type="containsBlanks" dxfId="6022" priority="1086" stopIfTrue="1">
      <formula>LEN(TRIM(E337))=0</formula>
    </cfRule>
    <cfRule type="cellIs" dxfId="6021" priority="1087" stopIfTrue="1" operator="between">
      <formula>80.1</formula>
      <formula>100</formula>
    </cfRule>
    <cfRule type="cellIs" dxfId="6020" priority="1088" stopIfTrue="1" operator="between">
      <formula>35.1</formula>
      <formula>80</formula>
    </cfRule>
    <cfRule type="cellIs" dxfId="6019" priority="1089" stopIfTrue="1" operator="between">
      <formula>14.1</formula>
      <formula>35</formula>
    </cfRule>
    <cfRule type="cellIs" dxfId="6018" priority="1090" stopIfTrue="1" operator="between">
      <formula>5.1</formula>
      <formula>14</formula>
    </cfRule>
    <cfRule type="cellIs" dxfId="6017" priority="1091" stopIfTrue="1" operator="between">
      <formula>0</formula>
      <formula>5</formula>
    </cfRule>
    <cfRule type="containsBlanks" dxfId="6016" priority="1092" stopIfTrue="1">
      <formula>LEN(TRIM(E337))=0</formula>
    </cfRule>
  </conditionalFormatting>
  <conditionalFormatting sqref="E344:P344">
    <cfRule type="containsBlanks" dxfId="6015" priority="1079" stopIfTrue="1">
      <formula>LEN(TRIM(E344))=0</formula>
    </cfRule>
    <cfRule type="cellIs" dxfId="6014" priority="1080" stopIfTrue="1" operator="between">
      <formula>80.1</formula>
      <formula>100</formula>
    </cfRule>
    <cfRule type="cellIs" dxfId="6013" priority="1081" stopIfTrue="1" operator="between">
      <formula>35.1</formula>
      <formula>80</formula>
    </cfRule>
    <cfRule type="cellIs" dxfId="6012" priority="1082" stopIfTrue="1" operator="between">
      <formula>14.1</formula>
      <formula>35</formula>
    </cfRule>
    <cfRule type="cellIs" dxfId="6011" priority="1083" stopIfTrue="1" operator="between">
      <formula>5.1</formula>
      <formula>14</formula>
    </cfRule>
    <cfRule type="cellIs" dxfId="6010" priority="1084" stopIfTrue="1" operator="between">
      <formula>0</formula>
      <formula>5</formula>
    </cfRule>
    <cfRule type="containsBlanks" dxfId="6009" priority="1085" stopIfTrue="1">
      <formula>LEN(TRIM(E344))=0</formula>
    </cfRule>
  </conditionalFormatting>
  <conditionalFormatting sqref="E407:P407 E403:L403 N403:P403 E404:K404 M404:P404 E405:L405 N405:P405 E414:P415">
    <cfRule type="containsBlanks" dxfId="6008" priority="1072" stopIfTrue="1">
      <formula>LEN(TRIM(E403))=0</formula>
    </cfRule>
    <cfRule type="cellIs" dxfId="6007" priority="1073" stopIfTrue="1" operator="between">
      <formula>80.1</formula>
      <formula>100</formula>
    </cfRule>
    <cfRule type="cellIs" dxfId="6006" priority="1074" stopIfTrue="1" operator="between">
      <formula>35.1</formula>
      <formula>80</formula>
    </cfRule>
    <cfRule type="cellIs" dxfId="6005" priority="1075" stopIfTrue="1" operator="between">
      <formula>14.1</formula>
      <formula>35</formula>
    </cfRule>
    <cfRule type="cellIs" dxfId="6004" priority="1076" stopIfTrue="1" operator="between">
      <formula>5.1</formula>
      <formula>14</formula>
    </cfRule>
    <cfRule type="cellIs" dxfId="6003" priority="1077" stopIfTrue="1" operator="between">
      <formula>0</formula>
      <formula>5</formula>
    </cfRule>
    <cfRule type="containsBlanks" dxfId="6002" priority="1078" stopIfTrue="1">
      <formula>LEN(TRIM(E403))=0</formula>
    </cfRule>
  </conditionalFormatting>
  <conditionalFormatting sqref="E399">
    <cfRule type="containsBlanks" dxfId="6001" priority="1065" stopIfTrue="1">
      <formula>LEN(TRIM(E399))=0</formula>
    </cfRule>
    <cfRule type="cellIs" dxfId="6000" priority="1066" stopIfTrue="1" operator="between">
      <formula>79.1</formula>
      <formula>100</formula>
    </cfRule>
    <cfRule type="cellIs" dxfId="5999" priority="1067" stopIfTrue="1" operator="between">
      <formula>34.1</formula>
      <formula>79</formula>
    </cfRule>
    <cfRule type="cellIs" dxfId="5998" priority="1068" stopIfTrue="1" operator="between">
      <formula>13.1</formula>
      <formula>34</formula>
    </cfRule>
    <cfRule type="cellIs" dxfId="5997" priority="1069" stopIfTrue="1" operator="between">
      <formula>5.1</formula>
      <formula>13</formula>
    </cfRule>
    <cfRule type="cellIs" dxfId="5996" priority="1070" stopIfTrue="1" operator="between">
      <formula>0</formula>
      <formula>5</formula>
    </cfRule>
    <cfRule type="containsBlanks" dxfId="5995" priority="1071" stopIfTrue="1">
      <formula>LEN(TRIM(E399))=0</formula>
    </cfRule>
  </conditionalFormatting>
  <conditionalFormatting sqref="F399:J399">
    <cfRule type="containsBlanks" dxfId="5994" priority="1058" stopIfTrue="1">
      <formula>LEN(TRIM(F399))=0</formula>
    </cfRule>
    <cfRule type="cellIs" dxfId="5993" priority="1059" stopIfTrue="1" operator="between">
      <formula>79.1</formula>
      <formula>100</formula>
    </cfRule>
    <cfRule type="cellIs" dxfId="5992" priority="1060" stopIfTrue="1" operator="between">
      <formula>34.1</formula>
      <formula>79</formula>
    </cfRule>
    <cfRule type="cellIs" dxfId="5991" priority="1061" stopIfTrue="1" operator="between">
      <formula>13.1</formula>
      <formula>34</formula>
    </cfRule>
    <cfRule type="cellIs" dxfId="5990" priority="1062" stopIfTrue="1" operator="between">
      <formula>5.1</formula>
      <formula>13</formula>
    </cfRule>
    <cfRule type="cellIs" dxfId="5989" priority="1063" stopIfTrue="1" operator="between">
      <formula>0</formula>
      <formula>5</formula>
    </cfRule>
    <cfRule type="containsBlanks" dxfId="5988" priority="1064" stopIfTrue="1">
      <formula>LEN(TRIM(F399))=0</formula>
    </cfRule>
  </conditionalFormatting>
  <conditionalFormatting sqref="K399:P399">
    <cfRule type="containsBlanks" dxfId="5987" priority="1051" stopIfTrue="1">
      <formula>LEN(TRIM(K399))=0</formula>
    </cfRule>
    <cfRule type="cellIs" dxfId="5986" priority="1052" stopIfTrue="1" operator="between">
      <formula>79.1</formula>
      <formula>100</formula>
    </cfRule>
    <cfRule type="cellIs" dxfId="5985" priority="1053" stopIfTrue="1" operator="between">
      <formula>34.1</formula>
      <formula>79</formula>
    </cfRule>
    <cfRule type="cellIs" dxfId="5984" priority="1054" stopIfTrue="1" operator="between">
      <formula>13.1</formula>
      <formula>34</formula>
    </cfRule>
    <cfRule type="cellIs" dxfId="5983" priority="1055" stopIfTrue="1" operator="between">
      <formula>5.1</formula>
      <formula>13</formula>
    </cfRule>
    <cfRule type="cellIs" dxfId="5982" priority="1056" stopIfTrue="1" operator="between">
      <formula>0</formula>
      <formula>5</formula>
    </cfRule>
    <cfRule type="containsBlanks" dxfId="5981" priority="1057" stopIfTrue="1">
      <formula>LEN(TRIM(K399))=0</formula>
    </cfRule>
  </conditionalFormatting>
  <conditionalFormatting sqref="P400">
    <cfRule type="containsBlanks" dxfId="5980" priority="1044" stopIfTrue="1">
      <formula>LEN(TRIM(P400))=0</formula>
    </cfRule>
    <cfRule type="cellIs" dxfId="5979" priority="1045" stopIfTrue="1" operator="between">
      <formula>79.1</formula>
      <formula>100</formula>
    </cfRule>
    <cfRule type="cellIs" dxfId="5978" priority="1046" stopIfTrue="1" operator="between">
      <formula>34.1</formula>
      <formula>79</formula>
    </cfRule>
    <cfRule type="cellIs" dxfId="5977" priority="1047" stopIfTrue="1" operator="between">
      <formula>13.1</formula>
      <formula>34</formula>
    </cfRule>
    <cfRule type="cellIs" dxfId="5976" priority="1048" stopIfTrue="1" operator="between">
      <formula>5.1</formula>
      <formula>13</formula>
    </cfRule>
    <cfRule type="cellIs" dxfId="5975" priority="1049" stopIfTrue="1" operator="between">
      <formula>0</formula>
      <formula>5</formula>
    </cfRule>
    <cfRule type="containsBlanks" dxfId="5974" priority="1050" stopIfTrue="1">
      <formula>LEN(TRIM(P400))=0</formula>
    </cfRule>
  </conditionalFormatting>
  <conditionalFormatting sqref="K400">
    <cfRule type="containsBlanks" dxfId="5973" priority="1037" stopIfTrue="1">
      <formula>LEN(TRIM(K400))=0</formula>
    </cfRule>
    <cfRule type="cellIs" dxfId="5972" priority="1038" stopIfTrue="1" operator="between">
      <formula>79.1</formula>
      <formula>100</formula>
    </cfRule>
    <cfRule type="cellIs" dxfId="5971" priority="1039" stopIfTrue="1" operator="between">
      <formula>34.1</formula>
      <formula>79</formula>
    </cfRule>
    <cfRule type="cellIs" dxfId="5970" priority="1040" stopIfTrue="1" operator="between">
      <formula>13.1</formula>
      <formula>34</formula>
    </cfRule>
    <cfRule type="cellIs" dxfId="5969" priority="1041" stopIfTrue="1" operator="between">
      <formula>5.1</formula>
      <formula>13</formula>
    </cfRule>
    <cfRule type="cellIs" dxfId="5968" priority="1042" stopIfTrue="1" operator="between">
      <formula>0</formula>
      <formula>5</formula>
    </cfRule>
    <cfRule type="containsBlanks" dxfId="5967" priority="1043" stopIfTrue="1">
      <formula>LEN(TRIM(K400))=0</formula>
    </cfRule>
  </conditionalFormatting>
  <conditionalFormatting sqref="L400">
    <cfRule type="containsBlanks" dxfId="5966" priority="1030" stopIfTrue="1">
      <formula>LEN(TRIM(L400))=0</formula>
    </cfRule>
    <cfRule type="cellIs" dxfId="5965" priority="1031" stopIfTrue="1" operator="between">
      <formula>79.1</formula>
      <formula>100</formula>
    </cfRule>
    <cfRule type="cellIs" dxfId="5964" priority="1032" stopIfTrue="1" operator="between">
      <formula>34.1</formula>
      <formula>79</formula>
    </cfRule>
    <cfRule type="cellIs" dxfId="5963" priority="1033" stopIfTrue="1" operator="between">
      <formula>13.1</formula>
      <formula>34</formula>
    </cfRule>
    <cfRule type="cellIs" dxfId="5962" priority="1034" stopIfTrue="1" operator="between">
      <formula>5.1</formula>
      <formula>13</formula>
    </cfRule>
    <cfRule type="cellIs" dxfId="5961" priority="1035" stopIfTrue="1" operator="between">
      <formula>0</formula>
      <formula>5</formula>
    </cfRule>
    <cfRule type="containsBlanks" dxfId="5960" priority="1036" stopIfTrue="1">
      <formula>LEN(TRIM(L400))=0</formula>
    </cfRule>
  </conditionalFormatting>
  <conditionalFormatting sqref="M400">
    <cfRule type="containsBlanks" dxfId="5959" priority="1023" stopIfTrue="1">
      <formula>LEN(TRIM(M400))=0</formula>
    </cfRule>
    <cfRule type="cellIs" dxfId="5958" priority="1024" stopIfTrue="1" operator="between">
      <formula>79.1</formula>
      <formula>100</formula>
    </cfRule>
    <cfRule type="cellIs" dxfId="5957" priority="1025" stopIfTrue="1" operator="between">
      <formula>34.1</formula>
      <formula>79</formula>
    </cfRule>
    <cfRule type="cellIs" dxfId="5956" priority="1026" stopIfTrue="1" operator="between">
      <formula>13.1</formula>
      <formula>34</formula>
    </cfRule>
    <cfRule type="cellIs" dxfId="5955" priority="1027" stopIfTrue="1" operator="between">
      <formula>5.1</formula>
      <formula>13</formula>
    </cfRule>
    <cfRule type="cellIs" dxfId="5954" priority="1028" stopIfTrue="1" operator="between">
      <formula>0</formula>
      <formula>5</formula>
    </cfRule>
    <cfRule type="containsBlanks" dxfId="5953" priority="1029" stopIfTrue="1">
      <formula>LEN(TRIM(M400))=0</formula>
    </cfRule>
  </conditionalFormatting>
  <conditionalFormatting sqref="N400">
    <cfRule type="containsBlanks" dxfId="5952" priority="1016" stopIfTrue="1">
      <formula>LEN(TRIM(N400))=0</formula>
    </cfRule>
    <cfRule type="cellIs" dxfId="5951" priority="1017" stopIfTrue="1" operator="between">
      <formula>79.1</formula>
      <formula>100</formula>
    </cfRule>
    <cfRule type="cellIs" dxfId="5950" priority="1018" stopIfTrue="1" operator="between">
      <formula>34.1</formula>
      <formula>79</formula>
    </cfRule>
    <cfRule type="cellIs" dxfId="5949" priority="1019" stopIfTrue="1" operator="between">
      <formula>13.1</formula>
      <formula>34</formula>
    </cfRule>
    <cfRule type="cellIs" dxfId="5948" priority="1020" stopIfTrue="1" operator="between">
      <formula>5.1</formula>
      <formula>13</formula>
    </cfRule>
    <cfRule type="cellIs" dxfId="5947" priority="1021" stopIfTrue="1" operator="between">
      <formula>0</formula>
      <formula>5</formula>
    </cfRule>
    <cfRule type="containsBlanks" dxfId="5946" priority="1022" stopIfTrue="1">
      <formula>LEN(TRIM(N400))=0</formula>
    </cfRule>
  </conditionalFormatting>
  <conditionalFormatting sqref="O400">
    <cfRule type="containsBlanks" dxfId="5945" priority="1009" stopIfTrue="1">
      <formula>LEN(TRIM(O400))=0</formula>
    </cfRule>
    <cfRule type="cellIs" dxfId="5944" priority="1010" stopIfTrue="1" operator="between">
      <formula>79.1</formula>
      <formula>100</formula>
    </cfRule>
    <cfRule type="cellIs" dxfId="5943" priority="1011" stopIfTrue="1" operator="between">
      <formula>34.1</formula>
      <formula>79</formula>
    </cfRule>
    <cfRule type="cellIs" dxfId="5942" priority="1012" stopIfTrue="1" operator="between">
      <formula>13.1</formula>
      <formula>34</formula>
    </cfRule>
    <cfRule type="cellIs" dxfId="5941" priority="1013" stopIfTrue="1" operator="between">
      <formula>5.1</formula>
      <formula>13</formula>
    </cfRule>
    <cfRule type="cellIs" dxfId="5940" priority="1014" stopIfTrue="1" operator="between">
      <formula>0</formula>
      <formula>5</formula>
    </cfRule>
    <cfRule type="containsBlanks" dxfId="5939" priority="1015" stopIfTrue="1">
      <formula>LEN(TRIM(O400))=0</formula>
    </cfRule>
  </conditionalFormatting>
  <conditionalFormatting sqref="E402">
    <cfRule type="containsBlanks" dxfId="5938" priority="1002" stopIfTrue="1">
      <formula>LEN(TRIM(E402))=0</formula>
    </cfRule>
    <cfRule type="cellIs" dxfId="5937" priority="1003" stopIfTrue="1" operator="between">
      <formula>79.1</formula>
      <formula>100</formula>
    </cfRule>
    <cfRule type="cellIs" dxfId="5936" priority="1004" stopIfTrue="1" operator="between">
      <formula>34.1</formula>
      <formula>79</formula>
    </cfRule>
    <cfRule type="cellIs" dxfId="5935" priority="1005" stopIfTrue="1" operator="between">
      <formula>13.1</formula>
      <formula>34</formula>
    </cfRule>
    <cfRule type="cellIs" dxfId="5934" priority="1006" stopIfTrue="1" operator="between">
      <formula>5.1</formula>
      <formula>13</formula>
    </cfRule>
    <cfRule type="cellIs" dxfId="5933" priority="1007" stopIfTrue="1" operator="between">
      <formula>0</formula>
      <formula>5</formula>
    </cfRule>
    <cfRule type="containsBlanks" dxfId="5932" priority="1008" stopIfTrue="1">
      <formula>LEN(TRIM(E402))=0</formula>
    </cfRule>
  </conditionalFormatting>
  <conditionalFormatting sqref="F402:J402">
    <cfRule type="containsBlanks" dxfId="5931" priority="995" stopIfTrue="1">
      <formula>LEN(TRIM(F402))=0</formula>
    </cfRule>
    <cfRule type="cellIs" dxfId="5930" priority="996" stopIfTrue="1" operator="between">
      <formula>79.1</formula>
      <formula>100</formula>
    </cfRule>
    <cfRule type="cellIs" dxfId="5929" priority="997" stopIfTrue="1" operator="between">
      <formula>34.1</formula>
      <formula>79</formula>
    </cfRule>
    <cfRule type="cellIs" dxfId="5928" priority="998" stopIfTrue="1" operator="between">
      <formula>13.1</formula>
      <formula>34</formula>
    </cfRule>
    <cfRule type="cellIs" dxfId="5927" priority="999" stopIfTrue="1" operator="between">
      <formula>5.1</formula>
      <formula>13</formula>
    </cfRule>
    <cfRule type="cellIs" dxfId="5926" priority="1000" stopIfTrue="1" operator="between">
      <formula>0</formula>
      <formula>5</formula>
    </cfRule>
    <cfRule type="containsBlanks" dxfId="5925" priority="1001" stopIfTrue="1">
      <formula>LEN(TRIM(F402))=0</formula>
    </cfRule>
  </conditionalFormatting>
  <conditionalFormatting sqref="K402:N402 P402">
    <cfRule type="containsBlanks" dxfId="5924" priority="988" stopIfTrue="1">
      <formula>LEN(TRIM(K402))=0</formula>
    </cfRule>
    <cfRule type="cellIs" dxfId="5923" priority="989" stopIfTrue="1" operator="between">
      <formula>79.1</formula>
      <formula>100</formula>
    </cfRule>
    <cfRule type="cellIs" dxfId="5922" priority="990" stopIfTrue="1" operator="between">
      <formula>34.1</formula>
      <formula>79</formula>
    </cfRule>
    <cfRule type="cellIs" dxfId="5921" priority="991" stopIfTrue="1" operator="between">
      <formula>13.1</formula>
      <formula>34</formula>
    </cfRule>
    <cfRule type="cellIs" dxfId="5920" priority="992" stopIfTrue="1" operator="between">
      <formula>5.1</formula>
      <formula>13</formula>
    </cfRule>
    <cfRule type="cellIs" dxfId="5919" priority="993" stopIfTrue="1" operator="between">
      <formula>0</formula>
      <formula>5</formula>
    </cfRule>
    <cfRule type="containsBlanks" dxfId="5918" priority="994" stopIfTrue="1">
      <formula>LEN(TRIM(K402))=0</formula>
    </cfRule>
  </conditionalFormatting>
  <conditionalFormatting sqref="O402">
    <cfRule type="containsBlanks" dxfId="5917" priority="981" stopIfTrue="1">
      <formula>LEN(TRIM(O402))=0</formula>
    </cfRule>
    <cfRule type="cellIs" dxfId="5916" priority="982" stopIfTrue="1" operator="between">
      <formula>79.1</formula>
      <formula>100</formula>
    </cfRule>
    <cfRule type="cellIs" dxfId="5915" priority="983" stopIfTrue="1" operator="between">
      <formula>34.1</formula>
      <formula>79</formula>
    </cfRule>
    <cfRule type="cellIs" dxfId="5914" priority="984" stopIfTrue="1" operator="between">
      <formula>13.1</formula>
      <formula>34</formula>
    </cfRule>
    <cfRule type="cellIs" dxfId="5913" priority="985" stopIfTrue="1" operator="between">
      <formula>5.1</formula>
      <formula>13</formula>
    </cfRule>
    <cfRule type="cellIs" dxfId="5912" priority="986" stopIfTrue="1" operator="between">
      <formula>0</formula>
      <formula>5</formula>
    </cfRule>
    <cfRule type="containsBlanks" dxfId="5911" priority="987" stopIfTrue="1">
      <formula>LEN(TRIM(O402))=0</formula>
    </cfRule>
  </conditionalFormatting>
  <conditionalFormatting sqref="M403">
    <cfRule type="containsBlanks" dxfId="5910" priority="974" stopIfTrue="1">
      <formula>LEN(TRIM(M403))=0</formula>
    </cfRule>
    <cfRule type="cellIs" dxfId="5909" priority="975" stopIfTrue="1" operator="between">
      <formula>79.1</formula>
      <formula>100</formula>
    </cfRule>
    <cfRule type="cellIs" dxfId="5908" priority="976" stopIfTrue="1" operator="between">
      <formula>34.1</formula>
      <formula>79</formula>
    </cfRule>
    <cfRule type="cellIs" dxfId="5907" priority="977" stopIfTrue="1" operator="between">
      <formula>13.1</formula>
      <formula>34</formula>
    </cfRule>
    <cfRule type="cellIs" dxfId="5906" priority="978" stopIfTrue="1" operator="between">
      <formula>5.1</formula>
      <formula>13</formula>
    </cfRule>
    <cfRule type="cellIs" dxfId="5905" priority="979" stopIfTrue="1" operator="between">
      <formula>0</formula>
      <formula>5</formula>
    </cfRule>
    <cfRule type="containsBlanks" dxfId="5904" priority="980" stopIfTrue="1">
      <formula>LEN(TRIM(M403))=0</formula>
    </cfRule>
  </conditionalFormatting>
  <conditionalFormatting sqref="L404">
    <cfRule type="containsBlanks" dxfId="5903" priority="967" stopIfTrue="1">
      <formula>LEN(TRIM(L404))=0</formula>
    </cfRule>
    <cfRule type="cellIs" dxfId="5902" priority="968" stopIfTrue="1" operator="between">
      <formula>79.1</formula>
      <formula>100</formula>
    </cfRule>
    <cfRule type="cellIs" dxfId="5901" priority="969" stopIfTrue="1" operator="between">
      <formula>34.1</formula>
      <formula>79</formula>
    </cfRule>
    <cfRule type="cellIs" dxfId="5900" priority="970" stopIfTrue="1" operator="between">
      <formula>13.1</formula>
      <formula>34</formula>
    </cfRule>
    <cfRule type="cellIs" dxfId="5899" priority="971" stopIfTrue="1" operator="between">
      <formula>5.1</formula>
      <formula>13</formula>
    </cfRule>
    <cfRule type="cellIs" dxfId="5898" priority="972" stopIfTrue="1" operator="between">
      <formula>0</formula>
      <formula>5</formula>
    </cfRule>
    <cfRule type="containsBlanks" dxfId="5897" priority="973" stopIfTrue="1">
      <formula>LEN(TRIM(L404))=0</formula>
    </cfRule>
  </conditionalFormatting>
  <conditionalFormatting sqref="M405">
    <cfRule type="containsBlanks" dxfId="5896" priority="960" stopIfTrue="1">
      <formula>LEN(TRIM(M405))=0</formula>
    </cfRule>
    <cfRule type="cellIs" dxfId="5895" priority="961" stopIfTrue="1" operator="between">
      <formula>79.1</formula>
      <formula>100</formula>
    </cfRule>
    <cfRule type="cellIs" dxfId="5894" priority="962" stopIfTrue="1" operator="between">
      <formula>34.1</formula>
      <formula>79</formula>
    </cfRule>
    <cfRule type="cellIs" dxfId="5893" priority="963" stopIfTrue="1" operator="between">
      <formula>13.1</formula>
      <formula>34</formula>
    </cfRule>
    <cfRule type="cellIs" dxfId="5892" priority="964" stopIfTrue="1" operator="between">
      <formula>5.1</formula>
      <formula>13</formula>
    </cfRule>
    <cfRule type="cellIs" dxfId="5891" priority="965" stopIfTrue="1" operator="between">
      <formula>0</formula>
      <formula>5</formula>
    </cfRule>
    <cfRule type="containsBlanks" dxfId="5890" priority="966" stopIfTrue="1">
      <formula>LEN(TRIM(M405))=0</formula>
    </cfRule>
  </conditionalFormatting>
  <conditionalFormatting sqref="E406">
    <cfRule type="containsBlanks" dxfId="5889" priority="953" stopIfTrue="1">
      <formula>LEN(TRIM(E406))=0</formula>
    </cfRule>
    <cfRule type="cellIs" dxfId="5888" priority="954" stopIfTrue="1" operator="between">
      <formula>79.1</formula>
      <formula>100</formula>
    </cfRule>
    <cfRule type="cellIs" dxfId="5887" priority="955" stopIfTrue="1" operator="between">
      <formula>34.1</formula>
      <formula>79</formula>
    </cfRule>
    <cfRule type="cellIs" dxfId="5886" priority="956" stopIfTrue="1" operator="between">
      <formula>13.1</formula>
      <formula>34</formula>
    </cfRule>
    <cfRule type="cellIs" dxfId="5885" priority="957" stopIfTrue="1" operator="between">
      <formula>5.1</formula>
      <formula>13</formula>
    </cfRule>
    <cfRule type="cellIs" dxfId="5884" priority="958" stopIfTrue="1" operator="between">
      <formula>0</formula>
      <formula>5</formula>
    </cfRule>
    <cfRule type="containsBlanks" dxfId="5883" priority="959" stopIfTrue="1">
      <formula>LEN(TRIM(E406))=0</formula>
    </cfRule>
  </conditionalFormatting>
  <conditionalFormatting sqref="F406:J406">
    <cfRule type="containsBlanks" dxfId="5882" priority="946" stopIfTrue="1">
      <formula>LEN(TRIM(F406))=0</formula>
    </cfRule>
    <cfRule type="cellIs" dxfId="5881" priority="947" stopIfTrue="1" operator="between">
      <formula>79.1</formula>
      <formula>100</formula>
    </cfRule>
    <cfRule type="cellIs" dxfId="5880" priority="948" stopIfTrue="1" operator="between">
      <formula>34.1</formula>
      <formula>79</formula>
    </cfRule>
    <cfRule type="cellIs" dxfId="5879" priority="949" stopIfTrue="1" operator="between">
      <formula>13.1</formula>
      <formula>34</formula>
    </cfRule>
    <cfRule type="cellIs" dxfId="5878" priority="950" stopIfTrue="1" operator="between">
      <formula>5.1</formula>
      <formula>13</formula>
    </cfRule>
    <cfRule type="cellIs" dxfId="5877" priority="951" stopIfTrue="1" operator="between">
      <formula>0</formula>
      <formula>5</formula>
    </cfRule>
    <cfRule type="containsBlanks" dxfId="5876" priority="952" stopIfTrue="1">
      <formula>LEN(TRIM(F406))=0</formula>
    </cfRule>
  </conditionalFormatting>
  <conditionalFormatting sqref="K406:P406">
    <cfRule type="containsBlanks" dxfId="5875" priority="939" stopIfTrue="1">
      <formula>LEN(TRIM(K406))=0</formula>
    </cfRule>
    <cfRule type="cellIs" dxfId="5874" priority="940" stopIfTrue="1" operator="between">
      <formula>79.1</formula>
      <formula>100</formula>
    </cfRule>
    <cfRule type="cellIs" dxfId="5873" priority="941" stopIfTrue="1" operator="between">
      <formula>34.1</formula>
      <formula>79</formula>
    </cfRule>
    <cfRule type="cellIs" dxfId="5872" priority="942" stopIfTrue="1" operator="between">
      <formula>13.1</formula>
      <formula>34</formula>
    </cfRule>
    <cfRule type="cellIs" dxfId="5871" priority="943" stopIfTrue="1" operator="between">
      <formula>5.1</formula>
      <formula>13</formula>
    </cfRule>
    <cfRule type="cellIs" dxfId="5870" priority="944" stopIfTrue="1" operator="between">
      <formula>0</formula>
      <formula>5</formula>
    </cfRule>
    <cfRule type="containsBlanks" dxfId="5869" priority="945" stopIfTrue="1">
      <formula>LEN(TRIM(K406))=0</formula>
    </cfRule>
  </conditionalFormatting>
  <conditionalFormatting sqref="E408">
    <cfRule type="containsBlanks" dxfId="5868" priority="932" stopIfTrue="1">
      <formula>LEN(TRIM(E408))=0</formula>
    </cfRule>
    <cfRule type="cellIs" dxfId="5867" priority="933" stopIfTrue="1" operator="between">
      <formula>79.1</formula>
      <formula>100</formula>
    </cfRule>
    <cfRule type="cellIs" dxfId="5866" priority="934" stopIfTrue="1" operator="between">
      <formula>34.1</formula>
      <formula>79</formula>
    </cfRule>
    <cfRule type="cellIs" dxfId="5865" priority="935" stopIfTrue="1" operator="between">
      <formula>13.1</formula>
      <formula>34</formula>
    </cfRule>
    <cfRule type="cellIs" dxfId="5864" priority="936" stopIfTrue="1" operator="between">
      <formula>5.1</formula>
      <formula>13</formula>
    </cfRule>
    <cfRule type="cellIs" dxfId="5863" priority="937" stopIfTrue="1" operator="between">
      <formula>0</formula>
      <formula>5</formula>
    </cfRule>
    <cfRule type="containsBlanks" dxfId="5862" priority="938" stopIfTrue="1">
      <formula>LEN(TRIM(E408))=0</formula>
    </cfRule>
  </conditionalFormatting>
  <conditionalFormatting sqref="F408:J408">
    <cfRule type="containsBlanks" dxfId="5861" priority="925" stopIfTrue="1">
      <formula>LEN(TRIM(F408))=0</formula>
    </cfRule>
    <cfRule type="cellIs" dxfId="5860" priority="926" stopIfTrue="1" operator="between">
      <formula>79.1</formula>
      <formula>100</formula>
    </cfRule>
    <cfRule type="cellIs" dxfId="5859" priority="927" stopIfTrue="1" operator="between">
      <formula>34.1</formula>
      <formula>79</formula>
    </cfRule>
    <cfRule type="cellIs" dxfId="5858" priority="928" stopIfTrue="1" operator="between">
      <formula>13.1</formula>
      <formula>34</formula>
    </cfRule>
    <cfRule type="cellIs" dxfId="5857" priority="929" stopIfTrue="1" operator="between">
      <formula>5.1</formula>
      <formula>13</formula>
    </cfRule>
    <cfRule type="cellIs" dxfId="5856" priority="930" stopIfTrue="1" operator="between">
      <formula>0</formula>
      <formula>5</formula>
    </cfRule>
    <cfRule type="containsBlanks" dxfId="5855" priority="931" stopIfTrue="1">
      <formula>LEN(TRIM(F408))=0</formula>
    </cfRule>
  </conditionalFormatting>
  <conditionalFormatting sqref="K408:P408">
    <cfRule type="containsBlanks" dxfId="5854" priority="918" stopIfTrue="1">
      <formula>LEN(TRIM(K408))=0</formula>
    </cfRule>
    <cfRule type="cellIs" dxfId="5853" priority="919" stopIfTrue="1" operator="between">
      <formula>79.1</formula>
      <formula>100</formula>
    </cfRule>
    <cfRule type="cellIs" dxfId="5852" priority="920" stopIfTrue="1" operator="between">
      <formula>34.1</formula>
      <formula>79</formula>
    </cfRule>
    <cfRule type="cellIs" dxfId="5851" priority="921" stopIfTrue="1" operator="between">
      <formula>13.1</formula>
      <formula>34</formula>
    </cfRule>
    <cfRule type="cellIs" dxfId="5850" priority="922" stopIfTrue="1" operator="between">
      <formula>5.1</formula>
      <formula>13</formula>
    </cfRule>
    <cfRule type="cellIs" dxfId="5849" priority="923" stopIfTrue="1" operator="between">
      <formula>0</formula>
      <formula>5</formula>
    </cfRule>
    <cfRule type="containsBlanks" dxfId="5848" priority="924" stopIfTrue="1">
      <formula>LEN(TRIM(K408))=0</formula>
    </cfRule>
  </conditionalFormatting>
  <conditionalFormatting sqref="F409:F411 H409:H411 J409:J411">
    <cfRule type="containsBlanks" dxfId="5847" priority="911" stopIfTrue="1">
      <formula>LEN(TRIM(F409))=0</formula>
    </cfRule>
    <cfRule type="cellIs" dxfId="5846" priority="912" stopIfTrue="1" operator="between">
      <formula>79.1</formula>
      <formula>100</formula>
    </cfRule>
    <cfRule type="cellIs" dxfId="5845" priority="913" stopIfTrue="1" operator="between">
      <formula>34.1</formula>
      <formula>79</formula>
    </cfRule>
    <cfRule type="cellIs" dxfId="5844" priority="914" stopIfTrue="1" operator="between">
      <formula>13.1</formula>
      <formula>34</formula>
    </cfRule>
    <cfRule type="cellIs" dxfId="5843" priority="915" stopIfTrue="1" operator="between">
      <formula>5.1</formula>
      <formula>13</formula>
    </cfRule>
    <cfRule type="cellIs" dxfId="5842" priority="916" stopIfTrue="1" operator="between">
      <formula>0</formula>
      <formula>5</formula>
    </cfRule>
    <cfRule type="containsBlanks" dxfId="5841" priority="917" stopIfTrue="1">
      <formula>LEN(TRIM(F409))=0</formula>
    </cfRule>
  </conditionalFormatting>
  <conditionalFormatting sqref="E411">
    <cfRule type="containsBlanks" dxfId="5840" priority="904" stopIfTrue="1">
      <formula>LEN(TRIM(E411))=0</formula>
    </cfRule>
    <cfRule type="cellIs" dxfId="5839" priority="905" stopIfTrue="1" operator="between">
      <formula>79.1</formula>
      <formula>100</formula>
    </cfRule>
    <cfRule type="cellIs" dxfId="5838" priority="906" stopIfTrue="1" operator="between">
      <formula>34.1</formula>
      <formula>79</formula>
    </cfRule>
    <cfRule type="cellIs" dxfId="5837" priority="907" stopIfTrue="1" operator="between">
      <formula>13.1</formula>
      <formula>34</formula>
    </cfRule>
    <cfRule type="cellIs" dxfId="5836" priority="908" stopIfTrue="1" operator="between">
      <formula>5.1</formula>
      <formula>13</formula>
    </cfRule>
    <cfRule type="cellIs" dxfId="5835" priority="909" stopIfTrue="1" operator="between">
      <formula>0</formula>
      <formula>5</formula>
    </cfRule>
    <cfRule type="containsBlanks" dxfId="5834" priority="910" stopIfTrue="1">
      <formula>LEN(TRIM(E411))=0</formula>
    </cfRule>
  </conditionalFormatting>
  <conditionalFormatting sqref="E410">
    <cfRule type="containsBlanks" dxfId="5833" priority="897" stopIfTrue="1">
      <formula>LEN(TRIM(E410))=0</formula>
    </cfRule>
    <cfRule type="cellIs" dxfId="5832" priority="898" stopIfTrue="1" operator="between">
      <formula>79.1</formula>
      <formula>100</formula>
    </cfRule>
    <cfRule type="cellIs" dxfId="5831" priority="899" stopIfTrue="1" operator="between">
      <formula>34.1</formula>
      <formula>79</formula>
    </cfRule>
    <cfRule type="cellIs" dxfId="5830" priority="900" stopIfTrue="1" operator="between">
      <formula>13.1</formula>
      <formula>34</formula>
    </cfRule>
    <cfRule type="cellIs" dxfId="5829" priority="901" stopIfTrue="1" operator="between">
      <formula>5.1</formula>
      <formula>13</formula>
    </cfRule>
    <cfRule type="cellIs" dxfId="5828" priority="902" stopIfTrue="1" operator="between">
      <formula>0</formula>
      <formula>5</formula>
    </cfRule>
    <cfRule type="containsBlanks" dxfId="5827" priority="903" stopIfTrue="1">
      <formula>LEN(TRIM(E410))=0</formula>
    </cfRule>
  </conditionalFormatting>
  <conditionalFormatting sqref="E409">
    <cfRule type="containsBlanks" dxfId="5826" priority="890" stopIfTrue="1">
      <formula>LEN(TRIM(E409))=0</formula>
    </cfRule>
    <cfRule type="cellIs" dxfId="5825" priority="891" stopIfTrue="1" operator="between">
      <formula>79.1</formula>
      <formula>100</formula>
    </cfRule>
    <cfRule type="cellIs" dxfId="5824" priority="892" stopIfTrue="1" operator="between">
      <formula>34.1</formula>
      <formula>79</formula>
    </cfRule>
    <cfRule type="cellIs" dxfId="5823" priority="893" stopIfTrue="1" operator="between">
      <formula>13.1</formula>
      <formula>34</formula>
    </cfRule>
    <cfRule type="cellIs" dxfId="5822" priority="894" stopIfTrue="1" operator="between">
      <formula>5.1</formula>
      <formula>13</formula>
    </cfRule>
    <cfRule type="cellIs" dxfId="5821" priority="895" stopIfTrue="1" operator="between">
      <formula>0</formula>
      <formula>5</formula>
    </cfRule>
    <cfRule type="containsBlanks" dxfId="5820" priority="896" stopIfTrue="1">
      <formula>LEN(TRIM(E409))=0</formula>
    </cfRule>
  </conditionalFormatting>
  <conditionalFormatting sqref="G409">
    <cfRule type="containsBlanks" dxfId="5819" priority="883" stopIfTrue="1">
      <formula>LEN(TRIM(G409))=0</formula>
    </cfRule>
    <cfRule type="cellIs" dxfId="5818" priority="884" stopIfTrue="1" operator="between">
      <formula>79.1</formula>
      <formula>100</formula>
    </cfRule>
    <cfRule type="cellIs" dxfId="5817" priority="885" stopIfTrue="1" operator="between">
      <formula>34.1</formula>
      <formula>79</formula>
    </cfRule>
    <cfRule type="cellIs" dxfId="5816" priority="886" stopIfTrue="1" operator="between">
      <formula>13.1</formula>
      <formula>34</formula>
    </cfRule>
    <cfRule type="cellIs" dxfId="5815" priority="887" stopIfTrue="1" operator="between">
      <formula>5.1</formula>
      <formula>13</formula>
    </cfRule>
    <cfRule type="cellIs" dxfId="5814" priority="888" stopIfTrue="1" operator="between">
      <formula>0</formula>
      <formula>5</formula>
    </cfRule>
    <cfRule type="containsBlanks" dxfId="5813" priority="889" stopIfTrue="1">
      <formula>LEN(TRIM(G409))=0</formula>
    </cfRule>
  </conditionalFormatting>
  <conditionalFormatting sqref="G410">
    <cfRule type="containsBlanks" dxfId="5812" priority="876" stopIfTrue="1">
      <formula>LEN(TRIM(G410))=0</formula>
    </cfRule>
    <cfRule type="cellIs" dxfId="5811" priority="877" stopIfTrue="1" operator="between">
      <formula>79.1</formula>
      <formula>100</formula>
    </cfRule>
    <cfRule type="cellIs" dxfId="5810" priority="878" stopIfTrue="1" operator="between">
      <formula>34.1</formula>
      <formula>79</formula>
    </cfRule>
    <cfRule type="cellIs" dxfId="5809" priority="879" stopIfTrue="1" operator="between">
      <formula>13.1</formula>
      <formula>34</formula>
    </cfRule>
    <cfRule type="cellIs" dxfId="5808" priority="880" stopIfTrue="1" operator="between">
      <formula>5.1</formula>
      <formula>13</formula>
    </cfRule>
    <cfRule type="cellIs" dxfId="5807" priority="881" stopIfTrue="1" operator="between">
      <formula>0</formula>
      <formula>5</formula>
    </cfRule>
    <cfRule type="containsBlanks" dxfId="5806" priority="882" stopIfTrue="1">
      <formula>LEN(TRIM(G410))=0</formula>
    </cfRule>
  </conditionalFormatting>
  <conditionalFormatting sqref="G411">
    <cfRule type="containsBlanks" dxfId="5805" priority="869" stopIfTrue="1">
      <formula>LEN(TRIM(G411))=0</formula>
    </cfRule>
    <cfRule type="cellIs" dxfId="5804" priority="870" stopIfTrue="1" operator="between">
      <formula>79.1</formula>
      <formula>100</formula>
    </cfRule>
    <cfRule type="cellIs" dxfId="5803" priority="871" stopIfTrue="1" operator="between">
      <formula>34.1</formula>
      <formula>79</formula>
    </cfRule>
    <cfRule type="cellIs" dxfId="5802" priority="872" stopIfTrue="1" operator="between">
      <formula>13.1</formula>
      <formula>34</formula>
    </cfRule>
    <cfRule type="cellIs" dxfId="5801" priority="873" stopIfTrue="1" operator="between">
      <formula>5.1</formula>
      <formula>13</formula>
    </cfRule>
    <cfRule type="cellIs" dxfId="5800" priority="874" stopIfTrue="1" operator="between">
      <formula>0</formula>
      <formula>5</formula>
    </cfRule>
    <cfRule type="containsBlanks" dxfId="5799" priority="875" stopIfTrue="1">
      <formula>LEN(TRIM(G411))=0</formula>
    </cfRule>
  </conditionalFormatting>
  <conditionalFormatting sqref="I409">
    <cfRule type="containsBlanks" dxfId="5798" priority="862" stopIfTrue="1">
      <formula>LEN(TRIM(I409))=0</formula>
    </cfRule>
    <cfRule type="cellIs" dxfId="5797" priority="863" stopIfTrue="1" operator="between">
      <formula>79.1</formula>
      <formula>100</formula>
    </cfRule>
    <cfRule type="cellIs" dxfId="5796" priority="864" stopIfTrue="1" operator="between">
      <formula>34.1</formula>
      <formula>79</formula>
    </cfRule>
    <cfRule type="cellIs" dxfId="5795" priority="865" stopIfTrue="1" operator="between">
      <formula>13.1</formula>
      <formula>34</formula>
    </cfRule>
    <cfRule type="cellIs" dxfId="5794" priority="866" stopIfTrue="1" operator="between">
      <formula>5.1</formula>
      <formula>13</formula>
    </cfRule>
    <cfRule type="cellIs" dxfId="5793" priority="867" stopIfTrue="1" operator="between">
      <formula>0</formula>
      <formula>5</formula>
    </cfRule>
    <cfRule type="containsBlanks" dxfId="5792" priority="868" stopIfTrue="1">
      <formula>LEN(TRIM(I409))=0</formula>
    </cfRule>
  </conditionalFormatting>
  <conditionalFormatting sqref="I410">
    <cfRule type="containsBlanks" dxfId="5791" priority="855" stopIfTrue="1">
      <formula>LEN(TRIM(I410))=0</formula>
    </cfRule>
    <cfRule type="cellIs" dxfId="5790" priority="856" stopIfTrue="1" operator="between">
      <formula>79.1</formula>
      <formula>100</formula>
    </cfRule>
    <cfRule type="cellIs" dxfId="5789" priority="857" stopIfTrue="1" operator="between">
      <formula>34.1</formula>
      <formula>79</formula>
    </cfRule>
    <cfRule type="cellIs" dxfId="5788" priority="858" stopIfTrue="1" operator="between">
      <formula>13.1</formula>
      <formula>34</formula>
    </cfRule>
    <cfRule type="cellIs" dxfId="5787" priority="859" stopIfTrue="1" operator="between">
      <formula>5.1</formula>
      <formula>13</formula>
    </cfRule>
    <cfRule type="cellIs" dxfId="5786" priority="860" stopIfTrue="1" operator="between">
      <formula>0</formula>
      <formula>5</formula>
    </cfRule>
    <cfRule type="containsBlanks" dxfId="5785" priority="861" stopIfTrue="1">
      <formula>LEN(TRIM(I410))=0</formula>
    </cfRule>
  </conditionalFormatting>
  <conditionalFormatting sqref="I411">
    <cfRule type="containsBlanks" dxfId="5784" priority="848" stopIfTrue="1">
      <formula>LEN(TRIM(I411))=0</formula>
    </cfRule>
    <cfRule type="cellIs" dxfId="5783" priority="849" stopIfTrue="1" operator="between">
      <formula>79.1</formula>
      <formula>100</formula>
    </cfRule>
    <cfRule type="cellIs" dxfId="5782" priority="850" stopIfTrue="1" operator="between">
      <formula>34.1</formula>
      <formula>79</formula>
    </cfRule>
    <cfRule type="cellIs" dxfId="5781" priority="851" stopIfTrue="1" operator="between">
      <formula>13.1</formula>
      <formula>34</formula>
    </cfRule>
    <cfRule type="cellIs" dxfId="5780" priority="852" stopIfTrue="1" operator="between">
      <formula>5.1</formula>
      <formula>13</formula>
    </cfRule>
    <cfRule type="cellIs" dxfId="5779" priority="853" stopIfTrue="1" operator="between">
      <formula>0</formula>
      <formula>5</formula>
    </cfRule>
    <cfRule type="containsBlanks" dxfId="5778" priority="854" stopIfTrue="1">
      <formula>LEN(TRIM(I411))=0</formula>
    </cfRule>
  </conditionalFormatting>
  <conditionalFormatting sqref="L411:M411 O411:P411 L409:N410 P409:P410">
    <cfRule type="containsBlanks" dxfId="5777" priority="841" stopIfTrue="1">
      <formula>LEN(TRIM(L409))=0</formula>
    </cfRule>
    <cfRule type="cellIs" dxfId="5776" priority="842" stopIfTrue="1" operator="between">
      <formula>79.1</formula>
      <formula>100</formula>
    </cfRule>
    <cfRule type="cellIs" dxfId="5775" priority="843" stopIfTrue="1" operator="between">
      <formula>34.1</formula>
      <formula>79</formula>
    </cfRule>
    <cfRule type="cellIs" dxfId="5774" priority="844" stopIfTrue="1" operator="between">
      <formula>13.1</formula>
      <formula>34</formula>
    </cfRule>
    <cfRule type="cellIs" dxfId="5773" priority="845" stopIfTrue="1" operator="between">
      <formula>5.1</formula>
      <formula>13</formula>
    </cfRule>
    <cfRule type="cellIs" dxfId="5772" priority="846" stopIfTrue="1" operator="between">
      <formula>0</formula>
      <formula>5</formula>
    </cfRule>
    <cfRule type="containsBlanks" dxfId="5771" priority="847" stopIfTrue="1">
      <formula>LEN(TRIM(L409))=0</formula>
    </cfRule>
  </conditionalFormatting>
  <conditionalFormatting sqref="K409">
    <cfRule type="containsBlanks" dxfId="5770" priority="834" stopIfTrue="1">
      <formula>LEN(TRIM(K409))=0</formula>
    </cfRule>
    <cfRule type="cellIs" dxfId="5769" priority="835" stopIfTrue="1" operator="between">
      <formula>79.1</formula>
      <formula>100</formula>
    </cfRule>
    <cfRule type="cellIs" dxfId="5768" priority="836" stopIfTrue="1" operator="between">
      <formula>34.1</formula>
      <formula>79</formula>
    </cfRule>
    <cfRule type="cellIs" dxfId="5767" priority="837" stopIfTrue="1" operator="between">
      <formula>13.1</formula>
      <formula>34</formula>
    </cfRule>
    <cfRule type="cellIs" dxfId="5766" priority="838" stopIfTrue="1" operator="between">
      <formula>5.1</formula>
      <formula>13</formula>
    </cfRule>
    <cfRule type="cellIs" dxfId="5765" priority="839" stopIfTrue="1" operator="between">
      <formula>0</formula>
      <formula>5</formula>
    </cfRule>
    <cfRule type="containsBlanks" dxfId="5764" priority="840" stopIfTrue="1">
      <formula>LEN(TRIM(K409))=0</formula>
    </cfRule>
  </conditionalFormatting>
  <conditionalFormatting sqref="K410">
    <cfRule type="containsBlanks" dxfId="5763" priority="827" stopIfTrue="1">
      <formula>LEN(TRIM(K410))=0</formula>
    </cfRule>
    <cfRule type="cellIs" dxfId="5762" priority="828" stopIfTrue="1" operator="between">
      <formula>79.1</formula>
      <formula>100</formula>
    </cfRule>
    <cfRule type="cellIs" dxfId="5761" priority="829" stopIfTrue="1" operator="between">
      <formula>34.1</formula>
      <formula>79</formula>
    </cfRule>
    <cfRule type="cellIs" dxfId="5760" priority="830" stopIfTrue="1" operator="between">
      <formula>13.1</formula>
      <formula>34</formula>
    </cfRule>
    <cfRule type="cellIs" dxfId="5759" priority="831" stopIfTrue="1" operator="between">
      <formula>5.1</formula>
      <formula>13</formula>
    </cfRule>
    <cfRule type="cellIs" dxfId="5758" priority="832" stopIfTrue="1" operator="between">
      <formula>0</formula>
      <formula>5</formula>
    </cfRule>
    <cfRule type="containsBlanks" dxfId="5757" priority="833" stopIfTrue="1">
      <formula>LEN(TRIM(K410))=0</formula>
    </cfRule>
  </conditionalFormatting>
  <conditionalFormatting sqref="K411">
    <cfRule type="containsBlanks" dxfId="5756" priority="820" stopIfTrue="1">
      <formula>LEN(TRIM(K411))=0</formula>
    </cfRule>
    <cfRule type="cellIs" dxfId="5755" priority="821" stopIfTrue="1" operator="between">
      <formula>79.1</formula>
      <formula>100</formula>
    </cfRule>
    <cfRule type="cellIs" dxfId="5754" priority="822" stopIfTrue="1" operator="between">
      <formula>34.1</formula>
      <formula>79</formula>
    </cfRule>
    <cfRule type="cellIs" dxfId="5753" priority="823" stopIfTrue="1" operator="between">
      <formula>13.1</formula>
      <formula>34</formula>
    </cfRule>
    <cfRule type="cellIs" dxfId="5752" priority="824" stopIfTrue="1" operator="between">
      <formula>5.1</formula>
      <formula>13</formula>
    </cfRule>
    <cfRule type="cellIs" dxfId="5751" priority="825" stopIfTrue="1" operator="between">
      <formula>0</formula>
      <formula>5</formula>
    </cfRule>
    <cfRule type="containsBlanks" dxfId="5750" priority="826" stopIfTrue="1">
      <formula>LEN(TRIM(K411))=0</formula>
    </cfRule>
  </conditionalFormatting>
  <conditionalFormatting sqref="N411">
    <cfRule type="containsBlanks" dxfId="5749" priority="813" stopIfTrue="1">
      <formula>LEN(TRIM(N411))=0</formula>
    </cfRule>
    <cfRule type="cellIs" dxfId="5748" priority="814" stopIfTrue="1" operator="between">
      <formula>79.1</formula>
      <formula>100</formula>
    </cfRule>
    <cfRule type="cellIs" dxfId="5747" priority="815" stopIfTrue="1" operator="between">
      <formula>34.1</formula>
      <formula>79</formula>
    </cfRule>
    <cfRule type="cellIs" dxfId="5746" priority="816" stopIfTrue="1" operator="between">
      <formula>13.1</formula>
      <formula>34</formula>
    </cfRule>
    <cfRule type="cellIs" dxfId="5745" priority="817" stopIfTrue="1" operator="between">
      <formula>5.1</formula>
      <formula>13</formula>
    </cfRule>
    <cfRule type="cellIs" dxfId="5744" priority="818" stopIfTrue="1" operator="between">
      <formula>0</formula>
      <formula>5</formula>
    </cfRule>
    <cfRule type="containsBlanks" dxfId="5743" priority="819" stopIfTrue="1">
      <formula>LEN(TRIM(N411))=0</formula>
    </cfRule>
  </conditionalFormatting>
  <conditionalFormatting sqref="O409">
    <cfRule type="containsBlanks" dxfId="5742" priority="806" stopIfTrue="1">
      <formula>LEN(TRIM(O409))=0</formula>
    </cfRule>
    <cfRule type="cellIs" dxfId="5741" priority="807" stopIfTrue="1" operator="between">
      <formula>79.1</formula>
      <formula>100</formula>
    </cfRule>
    <cfRule type="cellIs" dxfId="5740" priority="808" stopIfTrue="1" operator="between">
      <formula>34.1</formula>
      <formula>79</formula>
    </cfRule>
    <cfRule type="cellIs" dxfId="5739" priority="809" stopIfTrue="1" operator="between">
      <formula>13.1</formula>
      <formula>34</formula>
    </cfRule>
    <cfRule type="cellIs" dxfId="5738" priority="810" stopIfTrue="1" operator="between">
      <formula>5.1</formula>
      <formula>13</formula>
    </cfRule>
    <cfRule type="cellIs" dxfId="5737" priority="811" stopIfTrue="1" operator="between">
      <formula>0</formula>
      <formula>5</formula>
    </cfRule>
    <cfRule type="containsBlanks" dxfId="5736" priority="812" stopIfTrue="1">
      <formula>LEN(TRIM(O409))=0</formula>
    </cfRule>
  </conditionalFormatting>
  <conditionalFormatting sqref="O410">
    <cfRule type="containsBlanks" dxfId="5735" priority="799" stopIfTrue="1">
      <formula>LEN(TRIM(O410))=0</formula>
    </cfRule>
    <cfRule type="cellIs" dxfId="5734" priority="800" stopIfTrue="1" operator="between">
      <formula>79.1</formula>
      <formula>100</formula>
    </cfRule>
    <cfRule type="cellIs" dxfId="5733" priority="801" stopIfTrue="1" operator="between">
      <formula>34.1</formula>
      <formula>79</formula>
    </cfRule>
    <cfRule type="cellIs" dxfId="5732" priority="802" stopIfTrue="1" operator="between">
      <formula>13.1</formula>
      <formula>34</formula>
    </cfRule>
    <cfRule type="cellIs" dxfId="5731" priority="803" stopIfTrue="1" operator="between">
      <formula>5.1</formula>
      <formula>13</formula>
    </cfRule>
    <cfRule type="cellIs" dxfId="5730" priority="804" stopIfTrue="1" operator="between">
      <formula>0</formula>
      <formula>5</formula>
    </cfRule>
    <cfRule type="containsBlanks" dxfId="5729" priority="805" stopIfTrue="1">
      <formula>LEN(TRIM(O410))=0</formula>
    </cfRule>
  </conditionalFormatting>
  <conditionalFormatting sqref="E413">
    <cfRule type="containsBlanks" dxfId="5728" priority="792" stopIfTrue="1">
      <formula>LEN(TRIM(E413))=0</formula>
    </cfRule>
    <cfRule type="cellIs" dxfId="5727" priority="793" stopIfTrue="1" operator="between">
      <formula>79.1</formula>
      <formula>100</formula>
    </cfRule>
    <cfRule type="cellIs" dxfId="5726" priority="794" stopIfTrue="1" operator="between">
      <formula>34.1</formula>
      <formula>79</formula>
    </cfRule>
    <cfRule type="cellIs" dxfId="5725" priority="795" stopIfTrue="1" operator="between">
      <formula>13.1</formula>
      <formula>34</formula>
    </cfRule>
    <cfRule type="cellIs" dxfId="5724" priority="796" stopIfTrue="1" operator="between">
      <formula>5.1</formula>
      <formula>13</formula>
    </cfRule>
    <cfRule type="cellIs" dxfId="5723" priority="797" stopIfTrue="1" operator="between">
      <formula>0</formula>
      <formula>5</formula>
    </cfRule>
    <cfRule type="containsBlanks" dxfId="5722" priority="798" stopIfTrue="1">
      <formula>LEN(TRIM(E413))=0</formula>
    </cfRule>
  </conditionalFormatting>
  <conditionalFormatting sqref="G413 I413">
    <cfRule type="containsBlanks" dxfId="5721" priority="785" stopIfTrue="1">
      <formula>LEN(TRIM(G413))=0</formula>
    </cfRule>
    <cfRule type="cellIs" dxfId="5720" priority="786" stopIfTrue="1" operator="between">
      <formula>79.1</formula>
      <formula>100</formula>
    </cfRule>
    <cfRule type="cellIs" dxfId="5719" priority="787" stopIfTrue="1" operator="between">
      <formula>34.1</formula>
      <formula>79</formula>
    </cfRule>
    <cfRule type="cellIs" dxfId="5718" priority="788" stopIfTrue="1" operator="between">
      <formula>13.1</formula>
      <formula>34</formula>
    </cfRule>
    <cfRule type="cellIs" dxfId="5717" priority="789" stopIfTrue="1" operator="between">
      <formula>5.1</formula>
      <formula>13</formula>
    </cfRule>
    <cfRule type="cellIs" dxfId="5716" priority="790" stopIfTrue="1" operator="between">
      <formula>0</formula>
      <formula>5</formula>
    </cfRule>
    <cfRule type="containsBlanks" dxfId="5715" priority="791" stopIfTrue="1">
      <formula>LEN(TRIM(G413))=0</formula>
    </cfRule>
  </conditionalFormatting>
  <conditionalFormatting sqref="F413">
    <cfRule type="containsBlanks" dxfId="5714" priority="778" stopIfTrue="1">
      <formula>LEN(TRIM(F413))=0</formula>
    </cfRule>
    <cfRule type="cellIs" dxfId="5713" priority="779" stopIfTrue="1" operator="between">
      <formula>79.1</formula>
      <formula>100</formula>
    </cfRule>
    <cfRule type="cellIs" dxfId="5712" priority="780" stopIfTrue="1" operator="between">
      <formula>34.1</formula>
      <formula>79</formula>
    </cfRule>
    <cfRule type="cellIs" dxfId="5711" priority="781" stopIfTrue="1" operator="between">
      <formula>13.1</formula>
      <formula>34</formula>
    </cfRule>
    <cfRule type="cellIs" dxfId="5710" priority="782" stopIfTrue="1" operator="between">
      <formula>5.1</formula>
      <formula>13</formula>
    </cfRule>
    <cfRule type="cellIs" dxfId="5709" priority="783" stopIfTrue="1" operator="between">
      <formula>0</formula>
      <formula>5</formula>
    </cfRule>
    <cfRule type="containsBlanks" dxfId="5708" priority="784" stopIfTrue="1">
      <formula>LEN(TRIM(F413))=0</formula>
    </cfRule>
  </conditionalFormatting>
  <conditionalFormatting sqref="H413">
    <cfRule type="containsBlanks" dxfId="5707" priority="771" stopIfTrue="1">
      <formula>LEN(TRIM(H413))=0</formula>
    </cfRule>
    <cfRule type="cellIs" dxfId="5706" priority="772" stopIfTrue="1" operator="between">
      <formula>79.1</formula>
      <formula>100</formula>
    </cfRule>
    <cfRule type="cellIs" dxfId="5705" priority="773" stopIfTrue="1" operator="between">
      <formula>34.1</formula>
      <formula>79</formula>
    </cfRule>
    <cfRule type="cellIs" dxfId="5704" priority="774" stopIfTrue="1" operator="between">
      <formula>13.1</formula>
      <formula>34</formula>
    </cfRule>
    <cfRule type="cellIs" dxfId="5703" priority="775" stopIfTrue="1" operator="between">
      <formula>5.1</formula>
      <formula>13</formula>
    </cfRule>
    <cfRule type="cellIs" dxfId="5702" priority="776" stopIfTrue="1" operator="between">
      <formula>0</formula>
      <formula>5</formula>
    </cfRule>
    <cfRule type="containsBlanks" dxfId="5701" priority="777" stopIfTrue="1">
      <formula>LEN(TRIM(H413))=0</formula>
    </cfRule>
  </conditionalFormatting>
  <conditionalFormatting sqref="J413">
    <cfRule type="containsBlanks" dxfId="5700" priority="764" stopIfTrue="1">
      <formula>LEN(TRIM(J413))=0</formula>
    </cfRule>
    <cfRule type="cellIs" dxfId="5699" priority="765" stopIfTrue="1" operator="between">
      <formula>79.1</formula>
      <formula>100</formula>
    </cfRule>
    <cfRule type="cellIs" dxfId="5698" priority="766" stopIfTrue="1" operator="between">
      <formula>34.1</formula>
      <formula>79</formula>
    </cfRule>
    <cfRule type="cellIs" dxfId="5697" priority="767" stopIfTrue="1" operator="between">
      <formula>13.1</formula>
      <formula>34</formula>
    </cfRule>
    <cfRule type="cellIs" dxfId="5696" priority="768" stopIfTrue="1" operator="between">
      <formula>5.1</formula>
      <formula>13</formula>
    </cfRule>
    <cfRule type="cellIs" dxfId="5695" priority="769" stopIfTrue="1" operator="between">
      <formula>0</formula>
      <formula>5</formula>
    </cfRule>
    <cfRule type="containsBlanks" dxfId="5694" priority="770" stopIfTrue="1">
      <formula>LEN(TRIM(J413))=0</formula>
    </cfRule>
  </conditionalFormatting>
  <conditionalFormatting sqref="K413 N413:P413">
    <cfRule type="containsBlanks" dxfId="5693" priority="757" stopIfTrue="1">
      <formula>LEN(TRIM(K413))=0</formula>
    </cfRule>
    <cfRule type="cellIs" dxfId="5692" priority="758" stopIfTrue="1" operator="between">
      <formula>79.1</formula>
      <formula>100</formula>
    </cfRule>
    <cfRule type="cellIs" dxfId="5691" priority="759" stopIfTrue="1" operator="between">
      <formula>34.1</formula>
      <formula>79</formula>
    </cfRule>
    <cfRule type="cellIs" dxfId="5690" priority="760" stopIfTrue="1" operator="between">
      <formula>13.1</formula>
      <formula>34</formula>
    </cfRule>
    <cfRule type="cellIs" dxfId="5689" priority="761" stopIfTrue="1" operator="between">
      <formula>5.1</formula>
      <formula>13</formula>
    </cfRule>
    <cfRule type="cellIs" dxfId="5688" priority="762" stopIfTrue="1" operator="between">
      <formula>0</formula>
      <formula>5</formula>
    </cfRule>
    <cfRule type="containsBlanks" dxfId="5687" priority="763" stopIfTrue="1">
      <formula>LEN(TRIM(K413))=0</formula>
    </cfRule>
  </conditionalFormatting>
  <conditionalFormatting sqref="L413">
    <cfRule type="containsBlanks" dxfId="5686" priority="750" stopIfTrue="1">
      <formula>LEN(TRIM(L413))=0</formula>
    </cfRule>
    <cfRule type="cellIs" dxfId="5685" priority="751" stopIfTrue="1" operator="between">
      <formula>79.1</formula>
      <formula>100</formula>
    </cfRule>
    <cfRule type="cellIs" dxfId="5684" priority="752" stopIfTrue="1" operator="between">
      <formula>34.1</formula>
      <formula>79</formula>
    </cfRule>
    <cfRule type="cellIs" dxfId="5683" priority="753" stopIfTrue="1" operator="between">
      <formula>13.1</formula>
      <formula>34</formula>
    </cfRule>
    <cfRule type="cellIs" dxfId="5682" priority="754" stopIfTrue="1" operator="between">
      <formula>5.1</formula>
      <formula>13</formula>
    </cfRule>
    <cfRule type="cellIs" dxfId="5681" priority="755" stopIfTrue="1" operator="between">
      <formula>0</formula>
      <formula>5</formula>
    </cfRule>
    <cfRule type="containsBlanks" dxfId="5680" priority="756" stopIfTrue="1">
      <formula>LEN(TRIM(L413))=0</formula>
    </cfRule>
  </conditionalFormatting>
  <conditionalFormatting sqref="M413">
    <cfRule type="containsBlanks" dxfId="5679" priority="743" stopIfTrue="1">
      <formula>LEN(TRIM(M413))=0</formula>
    </cfRule>
    <cfRule type="cellIs" dxfId="5678" priority="744" stopIfTrue="1" operator="between">
      <formula>79.1</formula>
      <formula>100</formula>
    </cfRule>
    <cfRule type="cellIs" dxfId="5677" priority="745" stopIfTrue="1" operator="between">
      <formula>34.1</formula>
      <formula>79</formula>
    </cfRule>
    <cfRule type="cellIs" dxfId="5676" priority="746" stopIfTrue="1" operator="between">
      <formula>13.1</formula>
      <formula>34</formula>
    </cfRule>
    <cfRule type="cellIs" dxfId="5675" priority="747" stopIfTrue="1" operator="between">
      <formula>5.1</formula>
      <formula>13</formula>
    </cfRule>
    <cfRule type="cellIs" dxfId="5674" priority="748" stopIfTrue="1" operator="between">
      <formula>0</formula>
      <formula>5</formula>
    </cfRule>
    <cfRule type="containsBlanks" dxfId="5673" priority="749" stopIfTrue="1">
      <formula>LEN(TRIM(M413))=0</formula>
    </cfRule>
  </conditionalFormatting>
  <conditionalFormatting sqref="E412">
    <cfRule type="containsBlanks" dxfId="5672" priority="736" stopIfTrue="1">
      <formula>LEN(TRIM(E412))=0</formula>
    </cfRule>
    <cfRule type="cellIs" dxfId="5671" priority="737" stopIfTrue="1" operator="between">
      <formula>79.1</formula>
      <formula>100</formula>
    </cfRule>
    <cfRule type="cellIs" dxfId="5670" priority="738" stopIfTrue="1" operator="between">
      <formula>34.1</formula>
      <formula>79</formula>
    </cfRule>
    <cfRule type="cellIs" dxfId="5669" priority="739" stopIfTrue="1" operator="between">
      <formula>13.1</formula>
      <formula>34</formula>
    </cfRule>
    <cfRule type="cellIs" dxfId="5668" priority="740" stopIfTrue="1" operator="between">
      <formula>5.1</formula>
      <formula>13</formula>
    </cfRule>
    <cfRule type="cellIs" dxfId="5667" priority="741" stopIfTrue="1" operator="between">
      <formula>0</formula>
      <formula>5</formula>
    </cfRule>
    <cfRule type="containsBlanks" dxfId="5666" priority="742" stopIfTrue="1">
      <formula>LEN(TRIM(E412))=0</formula>
    </cfRule>
  </conditionalFormatting>
  <conditionalFormatting sqref="G412 I412">
    <cfRule type="containsBlanks" dxfId="5665" priority="729" stopIfTrue="1">
      <formula>LEN(TRIM(G412))=0</formula>
    </cfRule>
    <cfRule type="cellIs" dxfId="5664" priority="730" stopIfTrue="1" operator="between">
      <formula>79.1</formula>
      <formula>100</formula>
    </cfRule>
    <cfRule type="cellIs" dxfId="5663" priority="731" stopIfTrue="1" operator="between">
      <formula>34.1</formula>
      <formula>79</formula>
    </cfRule>
    <cfRule type="cellIs" dxfId="5662" priority="732" stopIfTrue="1" operator="between">
      <formula>13.1</formula>
      <formula>34</formula>
    </cfRule>
    <cfRule type="cellIs" dxfId="5661" priority="733" stopIfTrue="1" operator="between">
      <formula>5.1</formula>
      <formula>13</formula>
    </cfRule>
    <cfRule type="cellIs" dxfId="5660" priority="734" stopIfTrue="1" operator="between">
      <formula>0</formula>
      <formula>5</formula>
    </cfRule>
    <cfRule type="containsBlanks" dxfId="5659" priority="735" stopIfTrue="1">
      <formula>LEN(TRIM(G412))=0</formula>
    </cfRule>
  </conditionalFormatting>
  <conditionalFormatting sqref="F412">
    <cfRule type="containsBlanks" dxfId="5658" priority="722" stopIfTrue="1">
      <formula>LEN(TRIM(F412))=0</formula>
    </cfRule>
    <cfRule type="cellIs" dxfId="5657" priority="723" stopIfTrue="1" operator="between">
      <formula>79.1</formula>
      <formula>100</formula>
    </cfRule>
    <cfRule type="cellIs" dxfId="5656" priority="724" stopIfTrue="1" operator="between">
      <formula>34.1</formula>
      <formula>79</formula>
    </cfRule>
    <cfRule type="cellIs" dxfId="5655" priority="725" stopIfTrue="1" operator="between">
      <formula>13.1</formula>
      <formula>34</formula>
    </cfRule>
    <cfRule type="cellIs" dxfId="5654" priority="726" stopIfTrue="1" operator="between">
      <formula>5.1</formula>
      <formula>13</formula>
    </cfRule>
    <cfRule type="cellIs" dxfId="5653" priority="727" stopIfTrue="1" operator="between">
      <formula>0</formula>
      <formula>5</formula>
    </cfRule>
    <cfRule type="containsBlanks" dxfId="5652" priority="728" stopIfTrue="1">
      <formula>LEN(TRIM(F412))=0</formula>
    </cfRule>
  </conditionalFormatting>
  <conditionalFormatting sqref="H412">
    <cfRule type="containsBlanks" dxfId="5651" priority="715" stopIfTrue="1">
      <formula>LEN(TRIM(H412))=0</formula>
    </cfRule>
    <cfRule type="cellIs" dxfId="5650" priority="716" stopIfTrue="1" operator="between">
      <formula>79.1</formula>
      <formula>100</formula>
    </cfRule>
    <cfRule type="cellIs" dxfId="5649" priority="717" stopIfTrue="1" operator="between">
      <formula>34.1</formula>
      <formula>79</formula>
    </cfRule>
    <cfRule type="cellIs" dxfId="5648" priority="718" stopIfTrue="1" operator="between">
      <formula>13.1</formula>
      <formula>34</formula>
    </cfRule>
    <cfRule type="cellIs" dxfId="5647" priority="719" stopIfTrue="1" operator="between">
      <formula>5.1</formula>
      <formula>13</formula>
    </cfRule>
    <cfRule type="cellIs" dxfId="5646" priority="720" stopIfTrue="1" operator="between">
      <formula>0</formula>
      <formula>5</formula>
    </cfRule>
    <cfRule type="containsBlanks" dxfId="5645" priority="721" stopIfTrue="1">
      <formula>LEN(TRIM(H412))=0</formula>
    </cfRule>
  </conditionalFormatting>
  <conditionalFormatting sqref="J412">
    <cfRule type="containsBlanks" dxfId="5644" priority="708" stopIfTrue="1">
      <formula>LEN(TRIM(J412))=0</formula>
    </cfRule>
    <cfRule type="cellIs" dxfId="5643" priority="709" stopIfTrue="1" operator="between">
      <formula>79.1</formula>
      <formula>100</formula>
    </cfRule>
    <cfRule type="cellIs" dxfId="5642" priority="710" stopIfTrue="1" operator="between">
      <formula>34.1</formula>
      <formula>79</formula>
    </cfRule>
    <cfRule type="cellIs" dxfId="5641" priority="711" stopIfTrue="1" operator="between">
      <formula>13.1</formula>
      <formula>34</formula>
    </cfRule>
    <cfRule type="cellIs" dxfId="5640" priority="712" stopIfTrue="1" operator="between">
      <formula>5.1</formula>
      <formula>13</formula>
    </cfRule>
    <cfRule type="cellIs" dxfId="5639" priority="713" stopIfTrue="1" operator="between">
      <formula>0</formula>
      <formula>5</formula>
    </cfRule>
    <cfRule type="containsBlanks" dxfId="5638" priority="714" stopIfTrue="1">
      <formula>LEN(TRIM(J412))=0</formula>
    </cfRule>
  </conditionalFormatting>
  <conditionalFormatting sqref="K412 M412 O412:P412">
    <cfRule type="containsBlanks" dxfId="5637" priority="701" stopIfTrue="1">
      <formula>LEN(TRIM(K412))=0</formula>
    </cfRule>
    <cfRule type="cellIs" dxfId="5636" priority="702" stopIfTrue="1" operator="between">
      <formula>79.1</formula>
      <formula>100</formula>
    </cfRule>
    <cfRule type="cellIs" dxfId="5635" priority="703" stopIfTrue="1" operator="between">
      <formula>34.1</formula>
      <formula>79</formula>
    </cfRule>
    <cfRule type="cellIs" dxfId="5634" priority="704" stopIfTrue="1" operator="between">
      <formula>13.1</formula>
      <formula>34</formula>
    </cfRule>
    <cfRule type="cellIs" dxfId="5633" priority="705" stopIfTrue="1" operator="between">
      <formula>5.1</formula>
      <formula>13</formula>
    </cfRule>
    <cfRule type="cellIs" dxfId="5632" priority="706" stopIfTrue="1" operator="between">
      <formula>0</formula>
      <formula>5</formula>
    </cfRule>
    <cfRule type="containsBlanks" dxfId="5631" priority="707" stopIfTrue="1">
      <formula>LEN(TRIM(K412))=0</formula>
    </cfRule>
  </conditionalFormatting>
  <conditionalFormatting sqref="L412">
    <cfRule type="containsBlanks" dxfId="5630" priority="694" stopIfTrue="1">
      <formula>LEN(TRIM(L412))=0</formula>
    </cfRule>
    <cfRule type="cellIs" dxfId="5629" priority="695" stopIfTrue="1" operator="between">
      <formula>79.1</formula>
      <formula>100</formula>
    </cfRule>
    <cfRule type="cellIs" dxfId="5628" priority="696" stopIfTrue="1" operator="between">
      <formula>34.1</formula>
      <formula>79</formula>
    </cfRule>
    <cfRule type="cellIs" dxfId="5627" priority="697" stopIfTrue="1" operator="between">
      <formula>13.1</formula>
      <formula>34</formula>
    </cfRule>
    <cfRule type="cellIs" dxfId="5626" priority="698" stopIfTrue="1" operator="between">
      <formula>5.1</formula>
      <formula>13</formula>
    </cfRule>
    <cfRule type="cellIs" dxfId="5625" priority="699" stopIfTrue="1" operator="between">
      <formula>0</formula>
      <formula>5</formula>
    </cfRule>
    <cfRule type="containsBlanks" dxfId="5624" priority="700" stopIfTrue="1">
      <formula>LEN(TRIM(L412))=0</formula>
    </cfRule>
  </conditionalFormatting>
  <conditionalFormatting sqref="N412">
    <cfRule type="containsBlanks" dxfId="5623" priority="687" stopIfTrue="1">
      <formula>LEN(TRIM(N412))=0</formula>
    </cfRule>
    <cfRule type="cellIs" dxfId="5622" priority="688" stopIfTrue="1" operator="between">
      <formula>79.1</formula>
      <formula>100</formula>
    </cfRule>
    <cfRule type="cellIs" dxfId="5621" priority="689" stopIfTrue="1" operator="between">
      <formula>34.1</formula>
      <formula>79</formula>
    </cfRule>
    <cfRule type="cellIs" dxfId="5620" priority="690" stopIfTrue="1" operator="between">
      <formula>13.1</formula>
      <formula>34</formula>
    </cfRule>
    <cfRule type="cellIs" dxfId="5619" priority="691" stopIfTrue="1" operator="between">
      <formula>5.1</formula>
      <formula>13</formula>
    </cfRule>
    <cfRule type="cellIs" dxfId="5618" priority="692" stopIfTrue="1" operator="between">
      <formula>0</formula>
      <formula>5</formula>
    </cfRule>
    <cfRule type="containsBlanks" dxfId="5617" priority="693" stopIfTrue="1">
      <formula>LEN(TRIM(N412))=0</formula>
    </cfRule>
  </conditionalFormatting>
  <conditionalFormatting sqref="E416">
    <cfRule type="containsBlanks" dxfId="5616" priority="680" stopIfTrue="1">
      <formula>LEN(TRIM(E416))=0</formula>
    </cfRule>
    <cfRule type="cellIs" dxfId="5615" priority="681" stopIfTrue="1" operator="between">
      <formula>79.1</formula>
      <formula>100</formula>
    </cfRule>
    <cfRule type="cellIs" dxfId="5614" priority="682" stopIfTrue="1" operator="between">
      <formula>34.1</formula>
      <formula>79</formula>
    </cfRule>
    <cfRule type="cellIs" dxfId="5613" priority="683" stopIfTrue="1" operator="between">
      <formula>13.1</formula>
      <formula>34</formula>
    </cfRule>
    <cfRule type="cellIs" dxfId="5612" priority="684" stopIfTrue="1" operator="between">
      <formula>5.1</formula>
      <formula>13</formula>
    </cfRule>
    <cfRule type="cellIs" dxfId="5611" priority="685" stopIfTrue="1" operator="between">
      <formula>0</formula>
      <formula>5</formula>
    </cfRule>
    <cfRule type="containsBlanks" dxfId="5610" priority="686" stopIfTrue="1">
      <formula>LEN(TRIM(E416))=0</formula>
    </cfRule>
  </conditionalFormatting>
  <conditionalFormatting sqref="G416 I416">
    <cfRule type="containsBlanks" dxfId="5609" priority="673" stopIfTrue="1">
      <formula>LEN(TRIM(G416))=0</formula>
    </cfRule>
    <cfRule type="cellIs" dxfId="5608" priority="674" stopIfTrue="1" operator="between">
      <formula>79.1</formula>
      <formula>100</formula>
    </cfRule>
    <cfRule type="cellIs" dxfId="5607" priority="675" stopIfTrue="1" operator="between">
      <formula>34.1</formula>
      <formula>79</formula>
    </cfRule>
    <cfRule type="cellIs" dxfId="5606" priority="676" stopIfTrue="1" operator="between">
      <formula>13.1</formula>
      <formula>34</formula>
    </cfRule>
    <cfRule type="cellIs" dxfId="5605" priority="677" stopIfTrue="1" operator="between">
      <formula>5.1</formula>
      <formula>13</formula>
    </cfRule>
    <cfRule type="cellIs" dxfId="5604" priority="678" stopIfTrue="1" operator="between">
      <formula>0</formula>
      <formula>5</formula>
    </cfRule>
    <cfRule type="containsBlanks" dxfId="5603" priority="679" stopIfTrue="1">
      <formula>LEN(TRIM(G416))=0</formula>
    </cfRule>
  </conditionalFormatting>
  <conditionalFormatting sqref="F416">
    <cfRule type="containsBlanks" dxfId="5602" priority="666" stopIfTrue="1">
      <formula>LEN(TRIM(F416))=0</formula>
    </cfRule>
    <cfRule type="cellIs" dxfId="5601" priority="667" stopIfTrue="1" operator="between">
      <formula>79.1</formula>
      <formula>100</formula>
    </cfRule>
    <cfRule type="cellIs" dxfId="5600" priority="668" stopIfTrue="1" operator="between">
      <formula>34.1</formula>
      <formula>79</formula>
    </cfRule>
    <cfRule type="cellIs" dxfId="5599" priority="669" stopIfTrue="1" operator="between">
      <formula>13.1</formula>
      <formula>34</formula>
    </cfRule>
    <cfRule type="cellIs" dxfId="5598" priority="670" stopIfTrue="1" operator="between">
      <formula>5.1</formula>
      <formula>13</formula>
    </cfRule>
    <cfRule type="cellIs" dxfId="5597" priority="671" stopIfTrue="1" operator="between">
      <formula>0</formula>
      <formula>5</formula>
    </cfRule>
    <cfRule type="containsBlanks" dxfId="5596" priority="672" stopIfTrue="1">
      <formula>LEN(TRIM(F416))=0</formula>
    </cfRule>
  </conditionalFormatting>
  <conditionalFormatting sqref="H416">
    <cfRule type="containsBlanks" dxfId="5595" priority="659" stopIfTrue="1">
      <formula>LEN(TRIM(H416))=0</formula>
    </cfRule>
    <cfRule type="cellIs" dxfId="5594" priority="660" stopIfTrue="1" operator="between">
      <formula>79.1</formula>
      <formula>100</formula>
    </cfRule>
    <cfRule type="cellIs" dxfId="5593" priority="661" stopIfTrue="1" operator="between">
      <formula>34.1</formula>
      <formula>79</formula>
    </cfRule>
    <cfRule type="cellIs" dxfId="5592" priority="662" stopIfTrue="1" operator="between">
      <formula>13.1</formula>
      <formula>34</formula>
    </cfRule>
    <cfRule type="cellIs" dxfId="5591" priority="663" stopIfTrue="1" operator="between">
      <formula>5.1</formula>
      <formula>13</formula>
    </cfRule>
    <cfRule type="cellIs" dxfId="5590" priority="664" stopIfTrue="1" operator="between">
      <formula>0</formula>
      <formula>5</formula>
    </cfRule>
    <cfRule type="containsBlanks" dxfId="5589" priority="665" stopIfTrue="1">
      <formula>LEN(TRIM(H416))=0</formula>
    </cfRule>
  </conditionalFormatting>
  <conditionalFormatting sqref="J416">
    <cfRule type="containsBlanks" dxfId="5588" priority="652" stopIfTrue="1">
      <formula>LEN(TRIM(J416))=0</formula>
    </cfRule>
    <cfRule type="cellIs" dxfId="5587" priority="653" stopIfTrue="1" operator="between">
      <formula>79.1</formula>
      <formula>100</formula>
    </cfRule>
    <cfRule type="cellIs" dxfId="5586" priority="654" stopIfTrue="1" operator="between">
      <formula>34.1</formula>
      <formula>79</formula>
    </cfRule>
    <cfRule type="cellIs" dxfId="5585" priority="655" stopIfTrue="1" operator="between">
      <formula>13.1</formula>
      <formula>34</formula>
    </cfRule>
    <cfRule type="cellIs" dxfId="5584" priority="656" stopIfTrue="1" operator="between">
      <formula>5.1</formula>
      <formula>13</formula>
    </cfRule>
    <cfRule type="cellIs" dxfId="5583" priority="657" stopIfTrue="1" operator="between">
      <formula>0</formula>
      <formula>5</formula>
    </cfRule>
    <cfRule type="containsBlanks" dxfId="5582" priority="658" stopIfTrue="1">
      <formula>LEN(TRIM(J416))=0</formula>
    </cfRule>
  </conditionalFormatting>
  <conditionalFormatting sqref="K416 M416 O416:P416">
    <cfRule type="containsBlanks" dxfId="5581" priority="645" stopIfTrue="1">
      <formula>LEN(TRIM(K416))=0</formula>
    </cfRule>
    <cfRule type="cellIs" dxfId="5580" priority="646" stopIfTrue="1" operator="between">
      <formula>79.1</formula>
      <formula>100</formula>
    </cfRule>
    <cfRule type="cellIs" dxfId="5579" priority="647" stopIfTrue="1" operator="between">
      <formula>34.1</formula>
      <formula>79</formula>
    </cfRule>
    <cfRule type="cellIs" dxfId="5578" priority="648" stopIfTrue="1" operator="between">
      <formula>13.1</formula>
      <formula>34</formula>
    </cfRule>
    <cfRule type="cellIs" dxfId="5577" priority="649" stopIfTrue="1" operator="between">
      <formula>5.1</formula>
      <formula>13</formula>
    </cfRule>
    <cfRule type="cellIs" dxfId="5576" priority="650" stopIfTrue="1" operator="between">
      <formula>0</formula>
      <formula>5</formula>
    </cfRule>
    <cfRule type="containsBlanks" dxfId="5575" priority="651" stopIfTrue="1">
      <formula>LEN(TRIM(K416))=0</formula>
    </cfRule>
  </conditionalFormatting>
  <conditionalFormatting sqref="L416">
    <cfRule type="containsBlanks" dxfId="5574" priority="638" stopIfTrue="1">
      <formula>LEN(TRIM(L416))=0</formula>
    </cfRule>
    <cfRule type="cellIs" dxfId="5573" priority="639" stopIfTrue="1" operator="between">
      <formula>79.1</formula>
      <formula>100</formula>
    </cfRule>
    <cfRule type="cellIs" dxfId="5572" priority="640" stopIfTrue="1" operator="between">
      <formula>34.1</formula>
      <formula>79</formula>
    </cfRule>
    <cfRule type="cellIs" dxfId="5571" priority="641" stopIfTrue="1" operator="between">
      <formula>13.1</formula>
      <formula>34</formula>
    </cfRule>
    <cfRule type="cellIs" dxfId="5570" priority="642" stopIfTrue="1" operator="between">
      <formula>5.1</formula>
      <formula>13</formula>
    </cfRule>
    <cfRule type="cellIs" dxfId="5569" priority="643" stopIfTrue="1" operator="between">
      <formula>0</formula>
      <formula>5</formula>
    </cfRule>
    <cfRule type="containsBlanks" dxfId="5568" priority="644" stopIfTrue="1">
      <formula>LEN(TRIM(L416))=0</formula>
    </cfRule>
  </conditionalFormatting>
  <conditionalFormatting sqref="N416">
    <cfRule type="containsBlanks" dxfId="5567" priority="631" stopIfTrue="1">
      <formula>LEN(TRIM(N416))=0</formula>
    </cfRule>
    <cfRule type="cellIs" dxfId="5566" priority="632" stopIfTrue="1" operator="between">
      <formula>79.1</formula>
      <formula>100</formula>
    </cfRule>
    <cfRule type="cellIs" dxfId="5565" priority="633" stopIfTrue="1" operator="between">
      <formula>34.1</formula>
      <formula>79</formula>
    </cfRule>
    <cfRule type="cellIs" dxfId="5564" priority="634" stopIfTrue="1" operator="between">
      <formula>13.1</formula>
      <formula>34</formula>
    </cfRule>
    <cfRule type="cellIs" dxfId="5563" priority="635" stopIfTrue="1" operator="between">
      <formula>5.1</formula>
      <formula>13</formula>
    </cfRule>
    <cfRule type="cellIs" dxfId="5562" priority="636" stopIfTrue="1" operator="between">
      <formula>0</formula>
      <formula>5</formula>
    </cfRule>
    <cfRule type="containsBlanks" dxfId="5561" priority="637" stopIfTrue="1">
      <formula>LEN(TRIM(N416))=0</formula>
    </cfRule>
  </conditionalFormatting>
  <conditionalFormatting sqref="E417">
    <cfRule type="containsBlanks" dxfId="5560" priority="624" stopIfTrue="1">
      <formula>LEN(TRIM(E417))=0</formula>
    </cfRule>
    <cfRule type="cellIs" dxfId="5559" priority="625" stopIfTrue="1" operator="between">
      <formula>79.1</formula>
      <formula>100</formula>
    </cfRule>
    <cfRule type="cellIs" dxfId="5558" priority="626" stopIfTrue="1" operator="between">
      <formula>34.1</formula>
      <formula>79</formula>
    </cfRule>
    <cfRule type="cellIs" dxfId="5557" priority="627" stopIfTrue="1" operator="between">
      <formula>13.1</formula>
      <formula>34</formula>
    </cfRule>
    <cfRule type="cellIs" dxfId="5556" priority="628" stopIfTrue="1" operator="between">
      <formula>5.1</formula>
      <formula>13</formula>
    </cfRule>
    <cfRule type="cellIs" dxfId="5555" priority="629" stopIfTrue="1" operator="between">
      <formula>0</formula>
      <formula>5</formula>
    </cfRule>
    <cfRule type="containsBlanks" dxfId="5554" priority="630" stopIfTrue="1">
      <formula>LEN(TRIM(E417))=0</formula>
    </cfRule>
  </conditionalFormatting>
  <conditionalFormatting sqref="F417:J417">
    <cfRule type="containsBlanks" dxfId="5553" priority="617" stopIfTrue="1">
      <formula>LEN(TRIM(F417))=0</formula>
    </cfRule>
    <cfRule type="cellIs" dxfId="5552" priority="618" stopIfTrue="1" operator="between">
      <formula>79.1</formula>
      <formula>100</formula>
    </cfRule>
    <cfRule type="cellIs" dxfId="5551" priority="619" stopIfTrue="1" operator="between">
      <formula>34.1</formula>
      <formula>79</formula>
    </cfRule>
    <cfRule type="cellIs" dxfId="5550" priority="620" stopIfTrue="1" operator="between">
      <formula>13.1</formula>
      <formula>34</formula>
    </cfRule>
    <cfRule type="cellIs" dxfId="5549" priority="621" stopIfTrue="1" operator="between">
      <formula>5.1</formula>
      <formula>13</formula>
    </cfRule>
    <cfRule type="cellIs" dxfId="5548" priority="622" stopIfTrue="1" operator="between">
      <formula>0</formula>
      <formula>5</formula>
    </cfRule>
    <cfRule type="containsBlanks" dxfId="5547" priority="623" stopIfTrue="1">
      <formula>LEN(TRIM(F417))=0</formula>
    </cfRule>
  </conditionalFormatting>
  <conditionalFormatting sqref="K417:P417">
    <cfRule type="containsBlanks" dxfId="5546" priority="610" stopIfTrue="1">
      <formula>LEN(TRIM(K417))=0</formula>
    </cfRule>
    <cfRule type="cellIs" dxfId="5545" priority="611" stopIfTrue="1" operator="between">
      <formula>79.1</formula>
      <formula>100</formula>
    </cfRule>
    <cfRule type="cellIs" dxfId="5544" priority="612" stopIfTrue="1" operator="between">
      <formula>34.1</formula>
      <formula>79</formula>
    </cfRule>
    <cfRule type="cellIs" dxfId="5543" priority="613" stopIfTrue="1" operator="between">
      <formula>13.1</formula>
      <formula>34</formula>
    </cfRule>
    <cfRule type="cellIs" dxfId="5542" priority="614" stopIfTrue="1" operator="between">
      <formula>5.1</formula>
      <formula>13</formula>
    </cfRule>
    <cfRule type="cellIs" dxfId="5541" priority="615" stopIfTrue="1" operator="between">
      <formula>0</formula>
      <formula>5</formula>
    </cfRule>
    <cfRule type="containsBlanks" dxfId="5540" priority="616" stopIfTrue="1">
      <formula>LEN(TRIM(K417))=0</formula>
    </cfRule>
  </conditionalFormatting>
  <conditionalFormatting sqref="E418:J418">
    <cfRule type="containsBlanks" dxfId="5539" priority="603" stopIfTrue="1">
      <formula>LEN(TRIM(E418))=0</formula>
    </cfRule>
    <cfRule type="cellIs" dxfId="5538" priority="604" stopIfTrue="1" operator="between">
      <formula>80.1</formula>
      <formula>100</formula>
    </cfRule>
    <cfRule type="cellIs" dxfId="5537" priority="605" stopIfTrue="1" operator="between">
      <formula>35.1</formula>
      <formula>80</formula>
    </cfRule>
    <cfRule type="cellIs" dxfId="5536" priority="606" stopIfTrue="1" operator="between">
      <formula>14.1</formula>
      <formula>35</formula>
    </cfRule>
    <cfRule type="cellIs" dxfId="5535" priority="607" stopIfTrue="1" operator="between">
      <formula>5.1</formula>
      <formula>14</formula>
    </cfRule>
    <cfRule type="cellIs" dxfId="5534" priority="608" stopIfTrue="1" operator="between">
      <formula>0</formula>
      <formula>5</formula>
    </cfRule>
    <cfRule type="containsBlanks" dxfId="5533" priority="609" stopIfTrue="1">
      <formula>LEN(TRIM(E418))=0</formula>
    </cfRule>
  </conditionalFormatting>
  <conditionalFormatting sqref="K418:P418">
    <cfRule type="containsBlanks" dxfId="5532" priority="596" stopIfTrue="1">
      <formula>LEN(TRIM(K418))=0</formula>
    </cfRule>
    <cfRule type="cellIs" dxfId="5531" priority="597" stopIfTrue="1" operator="between">
      <formula>80.1</formula>
      <formula>100</formula>
    </cfRule>
    <cfRule type="cellIs" dxfId="5530" priority="598" stopIfTrue="1" operator="between">
      <formula>35.1</formula>
      <formula>80</formula>
    </cfRule>
    <cfRule type="cellIs" dxfId="5529" priority="599" stopIfTrue="1" operator="between">
      <formula>14.1</formula>
      <formula>35</formula>
    </cfRule>
    <cfRule type="cellIs" dxfId="5528" priority="600" stopIfTrue="1" operator="between">
      <formula>5.1</formula>
      <formula>14</formula>
    </cfRule>
    <cfRule type="cellIs" dxfId="5527" priority="601" stopIfTrue="1" operator="between">
      <formula>0</formula>
      <formula>5</formula>
    </cfRule>
    <cfRule type="containsBlanks" dxfId="5526" priority="602" stopIfTrue="1">
      <formula>LEN(TRIM(K418))=0</formula>
    </cfRule>
  </conditionalFormatting>
  <conditionalFormatting sqref="E419:J419">
    <cfRule type="containsBlanks" dxfId="5525" priority="589" stopIfTrue="1">
      <formula>LEN(TRIM(E419))=0</formula>
    </cfRule>
    <cfRule type="cellIs" dxfId="5524" priority="590" stopIfTrue="1" operator="between">
      <formula>80.1</formula>
      <formula>100</formula>
    </cfRule>
    <cfRule type="cellIs" dxfId="5523" priority="591" stopIfTrue="1" operator="between">
      <formula>35.1</formula>
      <formula>80</formula>
    </cfRule>
    <cfRule type="cellIs" dxfId="5522" priority="592" stopIfTrue="1" operator="between">
      <formula>14.1</formula>
      <formula>35</formula>
    </cfRule>
    <cfRule type="cellIs" dxfId="5521" priority="593" stopIfTrue="1" operator="between">
      <formula>5.1</formula>
      <formula>14</formula>
    </cfRule>
    <cfRule type="cellIs" dxfId="5520" priority="594" stopIfTrue="1" operator="between">
      <formula>0</formula>
      <formula>5</formula>
    </cfRule>
    <cfRule type="containsBlanks" dxfId="5519" priority="595" stopIfTrue="1">
      <formula>LEN(TRIM(E419))=0</formula>
    </cfRule>
  </conditionalFormatting>
  <conditionalFormatting sqref="K419:P419">
    <cfRule type="containsBlanks" dxfId="5518" priority="582" stopIfTrue="1">
      <formula>LEN(TRIM(K419))=0</formula>
    </cfRule>
    <cfRule type="cellIs" dxfId="5517" priority="583" stopIfTrue="1" operator="between">
      <formula>80.1</formula>
      <formula>100</formula>
    </cfRule>
    <cfRule type="cellIs" dxfId="5516" priority="584" stopIfTrue="1" operator="between">
      <formula>35.1</formula>
      <formula>80</formula>
    </cfRule>
    <cfRule type="cellIs" dxfId="5515" priority="585" stopIfTrue="1" operator="between">
      <formula>14.1</formula>
      <formula>35</formula>
    </cfRule>
    <cfRule type="cellIs" dxfId="5514" priority="586" stopIfTrue="1" operator="between">
      <formula>5.1</formula>
      <formula>14</formula>
    </cfRule>
    <cfRule type="cellIs" dxfId="5513" priority="587" stopIfTrue="1" operator="between">
      <formula>0</formula>
      <formula>5</formula>
    </cfRule>
    <cfRule type="containsBlanks" dxfId="5512" priority="588" stopIfTrue="1">
      <formula>LEN(TRIM(K419))=0</formula>
    </cfRule>
  </conditionalFormatting>
  <conditionalFormatting sqref="E420:J420">
    <cfRule type="containsBlanks" dxfId="5511" priority="575" stopIfTrue="1">
      <formula>LEN(TRIM(E420))=0</formula>
    </cfRule>
    <cfRule type="cellIs" dxfId="5510" priority="576" stopIfTrue="1" operator="between">
      <formula>80.1</formula>
      <formula>100</formula>
    </cfRule>
    <cfRule type="cellIs" dxfId="5509" priority="577" stopIfTrue="1" operator="between">
      <formula>35.1</formula>
      <formula>80</formula>
    </cfRule>
    <cfRule type="cellIs" dxfId="5508" priority="578" stopIfTrue="1" operator="between">
      <formula>14.1</formula>
      <formula>35</formula>
    </cfRule>
    <cfRule type="cellIs" dxfId="5507" priority="579" stopIfTrue="1" operator="between">
      <formula>5.1</formula>
      <formula>14</formula>
    </cfRule>
    <cfRule type="cellIs" dxfId="5506" priority="580" stopIfTrue="1" operator="between">
      <formula>0</formula>
      <formula>5</formula>
    </cfRule>
    <cfRule type="containsBlanks" dxfId="5505" priority="581" stopIfTrue="1">
      <formula>LEN(TRIM(E420))=0</formula>
    </cfRule>
  </conditionalFormatting>
  <conditionalFormatting sqref="K420:P420">
    <cfRule type="containsBlanks" dxfId="5504" priority="568" stopIfTrue="1">
      <formula>LEN(TRIM(K420))=0</formula>
    </cfRule>
    <cfRule type="cellIs" dxfId="5503" priority="569" stopIfTrue="1" operator="between">
      <formula>80.1</formula>
      <formula>100</formula>
    </cfRule>
    <cfRule type="cellIs" dxfId="5502" priority="570" stopIfTrue="1" operator="between">
      <formula>35.1</formula>
      <formula>80</formula>
    </cfRule>
    <cfRule type="cellIs" dxfId="5501" priority="571" stopIfTrue="1" operator="between">
      <formula>14.1</formula>
      <formula>35</formula>
    </cfRule>
    <cfRule type="cellIs" dxfId="5500" priority="572" stopIfTrue="1" operator="between">
      <formula>5.1</formula>
      <formula>14</formula>
    </cfRule>
    <cfRule type="cellIs" dxfId="5499" priority="573" stopIfTrue="1" operator="between">
      <formula>0</formula>
      <formula>5</formula>
    </cfRule>
    <cfRule type="containsBlanks" dxfId="5498" priority="574" stopIfTrue="1">
      <formula>LEN(TRIM(K420))=0</formula>
    </cfRule>
  </conditionalFormatting>
  <conditionalFormatting sqref="E421:J421">
    <cfRule type="containsBlanks" dxfId="5497" priority="561" stopIfTrue="1">
      <formula>LEN(TRIM(E421))=0</formula>
    </cfRule>
    <cfRule type="cellIs" dxfId="5496" priority="562" stopIfTrue="1" operator="between">
      <formula>79.1</formula>
      <formula>100</formula>
    </cfRule>
    <cfRule type="cellIs" dxfId="5495" priority="563" stopIfTrue="1" operator="between">
      <formula>34.1</formula>
      <formula>79</formula>
    </cfRule>
    <cfRule type="cellIs" dxfId="5494" priority="564" stopIfTrue="1" operator="between">
      <formula>13.1</formula>
      <formula>34</formula>
    </cfRule>
    <cfRule type="cellIs" dxfId="5493" priority="565" stopIfTrue="1" operator="between">
      <formula>5.1</formula>
      <formula>13</formula>
    </cfRule>
    <cfRule type="cellIs" dxfId="5492" priority="566" stopIfTrue="1" operator="between">
      <formula>0</formula>
      <formula>5</formula>
    </cfRule>
    <cfRule type="containsBlanks" dxfId="5491" priority="567" stopIfTrue="1">
      <formula>LEN(TRIM(E421))=0</formula>
    </cfRule>
  </conditionalFormatting>
  <conditionalFormatting sqref="P421">
    <cfRule type="containsBlanks" dxfId="5490" priority="554" stopIfTrue="1">
      <formula>LEN(TRIM(P421))=0</formula>
    </cfRule>
    <cfRule type="cellIs" dxfId="5489" priority="555" stopIfTrue="1" operator="between">
      <formula>80.1</formula>
      <formula>100</formula>
    </cfRule>
    <cfRule type="cellIs" dxfId="5488" priority="556" stopIfTrue="1" operator="between">
      <formula>35.1</formula>
      <formula>80</formula>
    </cfRule>
    <cfRule type="cellIs" dxfId="5487" priority="557" stopIfTrue="1" operator="between">
      <formula>14.1</formula>
      <formula>35</formula>
    </cfRule>
    <cfRule type="cellIs" dxfId="5486" priority="558" stopIfTrue="1" operator="between">
      <formula>5.1</formula>
      <formula>14</formula>
    </cfRule>
    <cfRule type="cellIs" dxfId="5485" priority="559" stopIfTrue="1" operator="between">
      <formula>0</formula>
      <formula>5</formula>
    </cfRule>
    <cfRule type="containsBlanks" dxfId="5484" priority="560" stopIfTrue="1">
      <formula>LEN(TRIM(P421))=0</formula>
    </cfRule>
  </conditionalFormatting>
  <conditionalFormatting sqref="K421:O421">
    <cfRule type="containsBlanks" dxfId="5483" priority="547" stopIfTrue="1">
      <formula>LEN(TRIM(K421))=0</formula>
    </cfRule>
    <cfRule type="cellIs" dxfId="5482" priority="548" stopIfTrue="1" operator="between">
      <formula>79.1</formula>
      <formula>100</formula>
    </cfRule>
    <cfRule type="cellIs" dxfId="5481" priority="549" stopIfTrue="1" operator="between">
      <formula>34.1</formula>
      <formula>79</formula>
    </cfRule>
    <cfRule type="cellIs" dxfId="5480" priority="550" stopIfTrue="1" operator="between">
      <formula>13.1</formula>
      <formula>34</formula>
    </cfRule>
    <cfRule type="cellIs" dxfId="5479" priority="551" stopIfTrue="1" operator="between">
      <formula>5.1</formula>
      <formula>13</formula>
    </cfRule>
    <cfRule type="cellIs" dxfId="5478" priority="552" stopIfTrue="1" operator="between">
      <formula>0</formula>
      <formula>5</formula>
    </cfRule>
    <cfRule type="containsBlanks" dxfId="5477" priority="553" stopIfTrue="1">
      <formula>LEN(TRIM(K421))=0</formula>
    </cfRule>
  </conditionalFormatting>
  <conditionalFormatting sqref="E423">
    <cfRule type="containsBlanks" dxfId="5476" priority="540" stopIfTrue="1">
      <formula>LEN(TRIM(E423))=0</formula>
    </cfRule>
    <cfRule type="cellIs" dxfId="5475" priority="541" stopIfTrue="1" operator="between">
      <formula>79.1</formula>
      <formula>100</formula>
    </cfRule>
    <cfRule type="cellIs" dxfId="5474" priority="542" stopIfTrue="1" operator="between">
      <formula>34.1</formula>
      <formula>79</formula>
    </cfRule>
    <cfRule type="cellIs" dxfId="5473" priority="543" stopIfTrue="1" operator="between">
      <formula>13.1</formula>
      <formula>34</formula>
    </cfRule>
    <cfRule type="cellIs" dxfId="5472" priority="544" stopIfTrue="1" operator="between">
      <formula>5.1</formula>
      <formula>13</formula>
    </cfRule>
    <cfRule type="cellIs" dxfId="5471" priority="545" stopIfTrue="1" operator="between">
      <formula>0</formula>
      <formula>5</formula>
    </cfRule>
    <cfRule type="containsBlanks" dxfId="5470" priority="546" stopIfTrue="1">
      <formula>LEN(TRIM(E423))=0</formula>
    </cfRule>
  </conditionalFormatting>
  <conditionalFormatting sqref="F423:J423">
    <cfRule type="containsBlanks" dxfId="5469" priority="533" stopIfTrue="1">
      <formula>LEN(TRIM(F423))=0</formula>
    </cfRule>
    <cfRule type="cellIs" dxfId="5468" priority="534" stopIfTrue="1" operator="between">
      <formula>79.1</formula>
      <formula>100</formula>
    </cfRule>
    <cfRule type="cellIs" dxfId="5467" priority="535" stopIfTrue="1" operator="between">
      <formula>34.1</formula>
      <formula>79</formula>
    </cfRule>
    <cfRule type="cellIs" dxfId="5466" priority="536" stopIfTrue="1" operator="between">
      <formula>13.1</formula>
      <formula>34</formula>
    </cfRule>
    <cfRule type="cellIs" dxfId="5465" priority="537" stopIfTrue="1" operator="between">
      <formula>5.1</formula>
      <formula>13</formula>
    </cfRule>
    <cfRule type="cellIs" dxfId="5464" priority="538" stopIfTrue="1" operator="between">
      <formula>0</formula>
      <formula>5</formula>
    </cfRule>
    <cfRule type="containsBlanks" dxfId="5463" priority="539" stopIfTrue="1">
      <formula>LEN(TRIM(F423))=0</formula>
    </cfRule>
  </conditionalFormatting>
  <conditionalFormatting sqref="K423:P423">
    <cfRule type="containsBlanks" dxfId="5462" priority="526" stopIfTrue="1">
      <formula>LEN(TRIM(K423))=0</formula>
    </cfRule>
    <cfRule type="cellIs" dxfId="5461" priority="527" stopIfTrue="1" operator="between">
      <formula>79.1</formula>
      <formula>100</formula>
    </cfRule>
    <cfRule type="cellIs" dxfId="5460" priority="528" stopIfTrue="1" operator="between">
      <formula>34.1</formula>
      <formula>79</formula>
    </cfRule>
    <cfRule type="cellIs" dxfId="5459" priority="529" stopIfTrue="1" operator="between">
      <formula>13.1</formula>
      <formula>34</formula>
    </cfRule>
    <cfRule type="cellIs" dxfId="5458" priority="530" stopIfTrue="1" operator="between">
      <formula>5.1</formula>
      <formula>13</formula>
    </cfRule>
    <cfRule type="cellIs" dxfId="5457" priority="531" stopIfTrue="1" operator="between">
      <formula>0</formula>
      <formula>5</formula>
    </cfRule>
    <cfRule type="containsBlanks" dxfId="5456" priority="532" stopIfTrue="1">
      <formula>LEN(TRIM(K423))=0</formula>
    </cfRule>
  </conditionalFormatting>
  <conditionalFormatting sqref="E424:J424">
    <cfRule type="containsBlanks" dxfId="5455" priority="519" stopIfTrue="1">
      <formula>LEN(TRIM(E424))=0</formula>
    </cfRule>
    <cfRule type="cellIs" dxfId="5454" priority="520" stopIfTrue="1" operator="between">
      <formula>79.1</formula>
      <formula>100</formula>
    </cfRule>
    <cfRule type="cellIs" dxfId="5453" priority="521" stopIfTrue="1" operator="between">
      <formula>34.1</formula>
      <formula>79</formula>
    </cfRule>
    <cfRule type="cellIs" dxfId="5452" priority="522" stopIfTrue="1" operator="between">
      <formula>13.1</formula>
      <formula>34</formula>
    </cfRule>
    <cfRule type="cellIs" dxfId="5451" priority="523" stopIfTrue="1" operator="between">
      <formula>5.1</formula>
      <formula>13</formula>
    </cfRule>
    <cfRule type="cellIs" dxfId="5450" priority="524" stopIfTrue="1" operator="between">
      <formula>0</formula>
      <formula>5</formula>
    </cfRule>
    <cfRule type="containsBlanks" dxfId="5449" priority="525" stopIfTrue="1">
      <formula>LEN(TRIM(E424))=0</formula>
    </cfRule>
  </conditionalFormatting>
  <conditionalFormatting sqref="P424">
    <cfRule type="containsBlanks" dxfId="5448" priority="512" stopIfTrue="1">
      <formula>LEN(TRIM(P424))=0</formula>
    </cfRule>
    <cfRule type="cellIs" dxfId="5447" priority="513" stopIfTrue="1" operator="between">
      <formula>80.1</formula>
      <formula>100</formula>
    </cfRule>
    <cfRule type="cellIs" dxfId="5446" priority="514" stopIfTrue="1" operator="between">
      <formula>35.1</formula>
      <formula>80</formula>
    </cfRule>
    <cfRule type="cellIs" dxfId="5445" priority="515" stopIfTrue="1" operator="between">
      <formula>14.1</formula>
      <formula>35</formula>
    </cfRule>
    <cfRule type="cellIs" dxfId="5444" priority="516" stopIfTrue="1" operator="between">
      <formula>5.1</formula>
      <formula>14</formula>
    </cfRule>
    <cfRule type="cellIs" dxfId="5443" priority="517" stopIfTrue="1" operator="between">
      <formula>0</formula>
      <formula>5</formula>
    </cfRule>
    <cfRule type="containsBlanks" dxfId="5442" priority="518" stopIfTrue="1">
      <formula>LEN(TRIM(P424))=0</formula>
    </cfRule>
  </conditionalFormatting>
  <conditionalFormatting sqref="K424:O424">
    <cfRule type="containsBlanks" dxfId="5441" priority="505" stopIfTrue="1">
      <formula>LEN(TRIM(K424))=0</formula>
    </cfRule>
    <cfRule type="cellIs" dxfId="5440" priority="506" stopIfTrue="1" operator="between">
      <formula>79.1</formula>
      <formula>100</formula>
    </cfRule>
    <cfRule type="cellIs" dxfId="5439" priority="507" stopIfTrue="1" operator="between">
      <formula>34.1</formula>
      <formula>79</formula>
    </cfRule>
    <cfRule type="cellIs" dxfId="5438" priority="508" stopIfTrue="1" operator="between">
      <formula>13.1</formula>
      <formula>34</formula>
    </cfRule>
    <cfRule type="cellIs" dxfId="5437" priority="509" stopIfTrue="1" operator="between">
      <formula>5.1</formula>
      <formula>13</formula>
    </cfRule>
    <cfRule type="cellIs" dxfId="5436" priority="510" stopIfTrue="1" operator="between">
      <formula>0</formula>
      <formula>5</formula>
    </cfRule>
    <cfRule type="containsBlanks" dxfId="5435" priority="511" stopIfTrue="1">
      <formula>LEN(TRIM(K424))=0</formula>
    </cfRule>
  </conditionalFormatting>
  <conditionalFormatting sqref="E422:J422">
    <cfRule type="containsBlanks" dxfId="5434" priority="498" stopIfTrue="1">
      <formula>LEN(TRIM(E422))=0</formula>
    </cfRule>
    <cfRule type="cellIs" dxfId="5433" priority="499" stopIfTrue="1" operator="between">
      <formula>79.1</formula>
      <formula>100</formula>
    </cfRule>
    <cfRule type="cellIs" dxfId="5432" priority="500" stopIfTrue="1" operator="between">
      <formula>34.1</formula>
      <formula>79</formula>
    </cfRule>
    <cfRule type="cellIs" dxfId="5431" priority="501" stopIfTrue="1" operator="between">
      <formula>13.1</formula>
      <formula>34</formula>
    </cfRule>
    <cfRule type="cellIs" dxfId="5430" priority="502" stopIfTrue="1" operator="between">
      <formula>5.1</formula>
      <formula>13</formula>
    </cfRule>
    <cfRule type="cellIs" dxfId="5429" priority="503" stopIfTrue="1" operator="between">
      <formula>0</formula>
      <formula>5</formula>
    </cfRule>
    <cfRule type="containsBlanks" dxfId="5428" priority="504" stopIfTrue="1">
      <formula>LEN(TRIM(E422))=0</formula>
    </cfRule>
  </conditionalFormatting>
  <conditionalFormatting sqref="P422">
    <cfRule type="containsBlanks" dxfId="5427" priority="491" stopIfTrue="1">
      <formula>LEN(TRIM(P422))=0</formula>
    </cfRule>
    <cfRule type="cellIs" dxfId="5426" priority="492" stopIfTrue="1" operator="between">
      <formula>80.1</formula>
      <formula>100</formula>
    </cfRule>
    <cfRule type="cellIs" dxfId="5425" priority="493" stopIfTrue="1" operator="between">
      <formula>35.1</formula>
      <formula>80</formula>
    </cfRule>
    <cfRule type="cellIs" dxfId="5424" priority="494" stopIfTrue="1" operator="between">
      <formula>14.1</formula>
      <formula>35</formula>
    </cfRule>
    <cfRule type="cellIs" dxfId="5423" priority="495" stopIfTrue="1" operator="between">
      <formula>5.1</formula>
      <formula>14</formula>
    </cfRule>
    <cfRule type="cellIs" dxfId="5422" priority="496" stopIfTrue="1" operator="between">
      <formula>0</formula>
      <formula>5</formula>
    </cfRule>
    <cfRule type="containsBlanks" dxfId="5421" priority="497" stopIfTrue="1">
      <formula>LEN(TRIM(P422))=0</formula>
    </cfRule>
  </conditionalFormatting>
  <conditionalFormatting sqref="K422:O422">
    <cfRule type="containsBlanks" dxfId="5420" priority="484" stopIfTrue="1">
      <formula>LEN(TRIM(K422))=0</formula>
    </cfRule>
    <cfRule type="cellIs" dxfId="5419" priority="485" stopIfTrue="1" operator="between">
      <formula>79.1</formula>
      <formula>100</formula>
    </cfRule>
    <cfRule type="cellIs" dxfId="5418" priority="486" stopIfTrue="1" operator="between">
      <formula>34.1</formula>
      <formula>79</formula>
    </cfRule>
    <cfRule type="cellIs" dxfId="5417" priority="487" stopIfTrue="1" operator="between">
      <formula>13.1</formula>
      <formula>34</formula>
    </cfRule>
    <cfRule type="cellIs" dxfId="5416" priority="488" stopIfTrue="1" operator="between">
      <formula>5.1</formula>
      <formula>13</formula>
    </cfRule>
    <cfRule type="cellIs" dxfId="5415" priority="489" stopIfTrue="1" operator="between">
      <formula>0</formula>
      <formula>5</formula>
    </cfRule>
    <cfRule type="containsBlanks" dxfId="5414" priority="490" stopIfTrue="1">
      <formula>LEN(TRIM(K422))=0</formula>
    </cfRule>
  </conditionalFormatting>
  <conditionalFormatting sqref="E401">
    <cfRule type="containsBlanks" dxfId="5413" priority="477" stopIfTrue="1">
      <formula>LEN(TRIM(E401))=0</formula>
    </cfRule>
    <cfRule type="cellIs" dxfId="5412" priority="478" stopIfTrue="1" operator="between">
      <formula>79.1</formula>
      <formula>100</formula>
    </cfRule>
    <cfRule type="cellIs" dxfId="5411" priority="479" stopIfTrue="1" operator="between">
      <formula>34.1</formula>
      <formula>79</formula>
    </cfRule>
    <cfRule type="cellIs" dxfId="5410" priority="480" stopIfTrue="1" operator="between">
      <formula>13.1</formula>
      <formula>34</formula>
    </cfRule>
    <cfRule type="cellIs" dxfId="5409" priority="481" stopIfTrue="1" operator="between">
      <formula>5.1</formula>
      <formula>13</formula>
    </cfRule>
    <cfRule type="cellIs" dxfId="5408" priority="482" stopIfTrue="1" operator="between">
      <formula>0</formula>
      <formula>5</formula>
    </cfRule>
    <cfRule type="containsBlanks" dxfId="5407" priority="483" stopIfTrue="1">
      <formula>LEN(TRIM(E401))=0</formula>
    </cfRule>
  </conditionalFormatting>
  <conditionalFormatting sqref="F401:J401">
    <cfRule type="containsBlanks" dxfId="5406" priority="470" stopIfTrue="1">
      <formula>LEN(TRIM(F401))=0</formula>
    </cfRule>
    <cfRule type="cellIs" dxfId="5405" priority="471" stopIfTrue="1" operator="between">
      <formula>79.1</formula>
      <formula>100</formula>
    </cfRule>
    <cfRule type="cellIs" dxfId="5404" priority="472" stopIfTrue="1" operator="between">
      <formula>34.1</formula>
      <formula>79</formula>
    </cfRule>
    <cfRule type="cellIs" dxfId="5403" priority="473" stopIfTrue="1" operator="between">
      <formula>13.1</formula>
      <formula>34</formula>
    </cfRule>
    <cfRule type="cellIs" dxfId="5402" priority="474" stopIfTrue="1" operator="between">
      <formula>5.1</formula>
      <formula>13</formula>
    </cfRule>
    <cfRule type="cellIs" dxfId="5401" priority="475" stopIfTrue="1" operator="between">
      <formula>0</formula>
      <formula>5</formula>
    </cfRule>
    <cfRule type="containsBlanks" dxfId="5400" priority="476" stopIfTrue="1">
      <formula>LEN(TRIM(F401))=0</formula>
    </cfRule>
  </conditionalFormatting>
  <conditionalFormatting sqref="K401:P401">
    <cfRule type="containsBlanks" dxfId="5399" priority="463" stopIfTrue="1">
      <formula>LEN(TRIM(K401))=0</formula>
    </cfRule>
    <cfRule type="cellIs" dxfId="5398" priority="464" stopIfTrue="1" operator="between">
      <formula>79.1</formula>
      <formula>100</formula>
    </cfRule>
    <cfRule type="cellIs" dxfId="5397" priority="465" stopIfTrue="1" operator="between">
      <formula>34.1</formula>
      <formula>79</formula>
    </cfRule>
    <cfRule type="cellIs" dxfId="5396" priority="466" stopIfTrue="1" operator="between">
      <formula>13.1</formula>
      <formula>34</formula>
    </cfRule>
    <cfRule type="cellIs" dxfId="5395" priority="467" stopIfTrue="1" operator="between">
      <formula>5.1</formula>
      <formula>13</formula>
    </cfRule>
    <cfRule type="cellIs" dxfId="5394" priority="468" stopIfTrue="1" operator="between">
      <formula>0</formula>
      <formula>5</formula>
    </cfRule>
    <cfRule type="containsBlanks" dxfId="5393" priority="469" stopIfTrue="1">
      <formula>LEN(TRIM(K401))=0</formula>
    </cfRule>
  </conditionalFormatting>
  <conditionalFormatting sqref="E400">
    <cfRule type="containsBlanks" dxfId="5392" priority="456" stopIfTrue="1">
      <formula>LEN(TRIM(E400))=0</formula>
    </cfRule>
    <cfRule type="cellIs" dxfId="5391" priority="457" stopIfTrue="1" operator="between">
      <formula>79.1</formula>
      <formula>100</formula>
    </cfRule>
    <cfRule type="cellIs" dxfId="5390" priority="458" stopIfTrue="1" operator="between">
      <formula>34.1</formula>
      <formula>79</formula>
    </cfRule>
    <cfRule type="cellIs" dxfId="5389" priority="459" stopIfTrue="1" operator="between">
      <formula>13.1</formula>
      <formula>34</formula>
    </cfRule>
    <cfRule type="cellIs" dxfId="5388" priority="460" stopIfTrue="1" operator="between">
      <formula>5.1</formula>
      <formula>13</formula>
    </cfRule>
    <cfRule type="cellIs" dxfId="5387" priority="461" stopIfTrue="1" operator="between">
      <formula>0</formula>
      <formula>5</formula>
    </cfRule>
    <cfRule type="containsBlanks" dxfId="5386" priority="462" stopIfTrue="1">
      <formula>LEN(TRIM(E400))=0</formula>
    </cfRule>
  </conditionalFormatting>
  <conditionalFormatting sqref="F400">
    <cfRule type="containsBlanks" dxfId="5385" priority="449" stopIfTrue="1">
      <formula>LEN(TRIM(F400))=0</formula>
    </cfRule>
    <cfRule type="cellIs" dxfId="5384" priority="450" stopIfTrue="1" operator="between">
      <formula>79.1</formula>
      <formula>100</formula>
    </cfRule>
    <cfRule type="cellIs" dxfId="5383" priority="451" stopIfTrue="1" operator="between">
      <formula>34.1</formula>
      <formula>79</formula>
    </cfRule>
    <cfRule type="cellIs" dxfId="5382" priority="452" stopIfTrue="1" operator="between">
      <formula>13.1</formula>
      <formula>34</formula>
    </cfRule>
    <cfRule type="cellIs" dxfId="5381" priority="453" stopIfTrue="1" operator="between">
      <formula>5.1</formula>
      <formula>13</formula>
    </cfRule>
    <cfRule type="cellIs" dxfId="5380" priority="454" stopIfTrue="1" operator="between">
      <formula>0</formula>
      <formula>5</formula>
    </cfRule>
    <cfRule type="containsBlanks" dxfId="5379" priority="455" stopIfTrue="1">
      <formula>LEN(TRIM(F400))=0</formula>
    </cfRule>
  </conditionalFormatting>
  <conditionalFormatting sqref="G400">
    <cfRule type="containsBlanks" dxfId="5378" priority="442" stopIfTrue="1">
      <formula>LEN(TRIM(G400))=0</formula>
    </cfRule>
    <cfRule type="cellIs" dxfId="5377" priority="443" stopIfTrue="1" operator="between">
      <formula>79.1</formula>
      <formula>100</formula>
    </cfRule>
    <cfRule type="cellIs" dxfId="5376" priority="444" stopIfTrue="1" operator="between">
      <formula>34.1</formula>
      <formula>79</formula>
    </cfRule>
    <cfRule type="cellIs" dxfId="5375" priority="445" stopIfTrue="1" operator="between">
      <formula>13.1</formula>
      <formula>34</formula>
    </cfRule>
    <cfRule type="cellIs" dxfId="5374" priority="446" stopIfTrue="1" operator="between">
      <formula>5.1</formula>
      <formula>13</formula>
    </cfRule>
    <cfRule type="cellIs" dxfId="5373" priority="447" stopIfTrue="1" operator="between">
      <formula>0</formula>
      <formula>5</formula>
    </cfRule>
    <cfRule type="containsBlanks" dxfId="5372" priority="448" stopIfTrue="1">
      <formula>LEN(TRIM(G400))=0</formula>
    </cfRule>
  </conditionalFormatting>
  <conditionalFormatting sqref="H400">
    <cfRule type="containsBlanks" dxfId="5371" priority="435" stopIfTrue="1">
      <formula>LEN(TRIM(H400))=0</formula>
    </cfRule>
    <cfRule type="cellIs" dxfId="5370" priority="436" stopIfTrue="1" operator="between">
      <formula>79.1</formula>
      <formula>100</formula>
    </cfRule>
    <cfRule type="cellIs" dxfId="5369" priority="437" stopIfTrue="1" operator="between">
      <formula>34.1</formula>
      <formula>79</formula>
    </cfRule>
    <cfRule type="cellIs" dxfId="5368" priority="438" stopIfTrue="1" operator="between">
      <formula>13.1</formula>
      <formula>34</formula>
    </cfRule>
    <cfRule type="cellIs" dxfId="5367" priority="439" stopIfTrue="1" operator="between">
      <formula>5.1</formula>
      <formula>13</formula>
    </cfRule>
    <cfRule type="cellIs" dxfId="5366" priority="440" stopIfTrue="1" operator="between">
      <formula>0</formula>
      <formula>5</formula>
    </cfRule>
    <cfRule type="containsBlanks" dxfId="5365" priority="441" stopIfTrue="1">
      <formula>LEN(TRIM(H400))=0</formula>
    </cfRule>
  </conditionalFormatting>
  <conditionalFormatting sqref="I400">
    <cfRule type="containsBlanks" dxfId="5364" priority="428" stopIfTrue="1">
      <formula>LEN(TRIM(I400))=0</formula>
    </cfRule>
    <cfRule type="cellIs" dxfId="5363" priority="429" stopIfTrue="1" operator="between">
      <formula>79.1</formula>
      <formula>100</formula>
    </cfRule>
    <cfRule type="cellIs" dxfId="5362" priority="430" stopIfTrue="1" operator="between">
      <formula>34.1</formula>
      <formula>79</formula>
    </cfRule>
    <cfRule type="cellIs" dxfId="5361" priority="431" stopIfTrue="1" operator="between">
      <formula>13.1</formula>
      <formula>34</formula>
    </cfRule>
    <cfRule type="cellIs" dxfId="5360" priority="432" stopIfTrue="1" operator="between">
      <formula>5.1</formula>
      <formula>13</formula>
    </cfRule>
    <cfRule type="cellIs" dxfId="5359" priority="433" stopIfTrue="1" operator="between">
      <formula>0</formula>
      <formula>5</formula>
    </cfRule>
    <cfRule type="containsBlanks" dxfId="5358" priority="434" stopIfTrue="1">
      <formula>LEN(TRIM(I400))=0</formula>
    </cfRule>
  </conditionalFormatting>
  <conditionalFormatting sqref="J400">
    <cfRule type="containsBlanks" dxfId="5357" priority="421" stopIfTrue="1">
      <formula>LEN(TRIM(J400))=0</formula>
    </cfRule>
    <cfRule type="cellIs" dxfId="5356" priority="422" stopIfTrue="1" operator="between">
      <formula>79.1</formula>
      <formula>100</formula>
    </cfRule>
    <cfRule type="cellIs" dxfId="5355" priority="423" stopIfTrue="1" operator="between">
      <formula>34.1</formula>
      <formula>79</formula>
    </cfRule>
    <cfRule type="cellIs" dxfId="5354" priority="424" stopIfTrue="1" operator="between">
      <formula>13.1</formula>
      <formula>34</formula>
    </cfRule>
    <cfRule type="cellIs" dxfId="5353" priority="425" stopIfTrue="1" operator="between">
      <formula>5.1</formula>
      <formula>13</formula>
    </cfRule>
    <cfRule type="cellIs" dxfId="5352" priority="426" stopIfTrue="1" operator="between">
      <formula>0</formula>
      <formula>5</formula>
    </cfRule>
    <cfRule type="containsBlanks" dxfId="5351" priority="427" stopIfTrue="1">
      <formula>LEN(TRIM(J400))=0</formula>
    </cfRule>
  </conditionalFormatting>
  <conditionalFormatting sqref="E425 G425:J425">
    <cfRule type="containsBlanks" dxfId="5350" priority="414" stopIfTrue="1">
      <formula>LEN(TRIM(E425))=0</formula>
    </cfRule>
    <cfRule type="cellIs" dxfId="5349" priority="415" stopIfTrue="1" operator="between">
      <formula>79.1</formula>
      <formula>100</formula>
    </cfRule>
    <cfRule type="cellIs" dxfId="5348" priority="416" stopIfTrue="1" operator="between">
      <formula>34.1</formula>
      <formula>79</formula>
    </cfRule>
    <cfRule type="cellIs" dxfId="5347" priority="417" stopIfTrue="1" operator="between">
      <formula>13.1</formula>
      <formula>34</formula>
    </cfRule>
    <cfRule type="cellIs" dxfId="5346" priority="418" stopIfTrue="1" operator="between">
      <formula>5.1</formula>
      <formula>13</formula>
    </cfRule>
    <cfRule type="cellIs" dxfId="5345" priority="419" stopIfTrue="1" operator="between">
      <formula>0</formula>
      <formula>5</formula>
    </cfRule>
    <cfRule type="containsBlanks" dxfId="5344" priority="420" stopIfTrue="1">
      <formula>LEN(TRIM(E425))=0</formula>
    </cfRule>
  </conditionalFormatting>
  <conditionalFormatting sqref="F425">
    <cfRule type="containsBlanks" dxfId="5343" priority="407" stopIfTrue="1">
      <formula>LEN(TRIM(F425))=0</formula>
    </cfRule>
    <cfRule type="cellIs" dxfId="5342" priority="408" stopIfTrue="1" operator="between">
      <formula>79.1</formula>
      <formula>100</formula>
    </cfRule>
    <cfRule type="cellIs" dxfId="5341" priority="409" stopIfTrue="1" operator="between">
      <formula>34.1</formula>
      <formula>79</formula>
    </cfRule>
    <cfRule type="cellIs" dxfId="5340" priority="410" stopIfTrue="1" operator="between">
      <formula>13.1</formula>
      <formula>34</formula>
    </cfRule>
    <cfRule type="cellIs" dxfId="5339" priority="411" stopIfTrue="1" operator="between">
      <formula>5.1</formula>
      <formula>13</formula>
    </cfRule>
    <cfRule type="cellIs" dxfId="5338" priority="412" stopIfTrue="1" operator="between">
      <formula>0</formula>
      <formula>5</formula>
    </cfRule>
    <cfRule type="containsBlanks" dxfId="5337" priority="413" stopIfTrue="1">
      <formula>LEN(TRIM(F425))=0</formula>
    </cfRule>
  </conditionalFormatting>
  <conditionalFormatting sqref="P425">
    <cfRule type="containsBlanks" dxfId="5336" priority="400" stopIfTrue="1">
      <formula>LEN(TRIM(P425))=0</formula>
    </cfRule>
    <cfRule type="cellIs" dxfId="5335" priority="401" stopIfTrue="1" operator="between">
      <formula>80.1</formula>
      <formula>100</formula>
    </cfRule>
    <cfRule type="cellIs" dxfId="5334" priority="402" stopIfTrue="1" operator="between">
      <formula>35.1</formula>
      <formula>80</formula>
    </cfRule>
    <cfRule type="cellIs" dxfId="5333" priority="403" stopIfTrue="1" operator="between">
      <formula>14.1</formula>
      <formula>35</formula>
    </cfRule>
    <cfRule type="cellIs" dxfId="5332" priority="404" stopIfTrue="1" operator="between">
      <formula>5.1</formula>
      <formula>14</formula>
    </cfRule>
    <cfRule type="cellIs" dxfId="5331" priority="405" stopIfTrue="1" operator="between">
      <formula>0</formula>
      <formula>5</formula>
    </cfRule>
    <cfRule type="containsBlanks" dxfId="5330" priority="406" stopIfTrue="1">
      <formula>LEN(TRIM(P425))=0</formula>
    </cfRule>
  </conditionalFormatting>
  <conditionalFormatting sqref="K425:O425">
    <cfRule type="containsBlanks" dxfId="5329" priority="393" stopIfTrue="1">
      <formula>LEN(TRIM(K425))=0</formula>
    </cfRule>
    <cfRule type="cellIs" dxfId="5328" priority="394" stopIfTrue="1" operator="between">
      <formula>79.1</formula>
      <formula>100</formula>
    </cfRule>
    <cfRule type="cellIs" dxfId="5327" priority="395" stopIfTrue="1" operator="between">
      <formula>34.1</formula>
      <formula>79</formula>
    </cfRule>
    <cfRule type="cellIs" dxfId="5326" priority="396" stopIfTrue="1" operator="between">
      <formula>13.1</formula>
      <formula>34</formula>
    </cfRule>
    <cfRule type="cellIs" dxfId="5325" priority="397" stopIfTrue="1" operator="between">
      <formula>5.1</formula>
      <formula>13</formula>
    </cfRule>
    <cfRule type="cellIs" dxfId="5324" priority="398" stopIfTrue="1" operator="between">
      <formula>0</formula>
      <formula>5</formula>
    </cfRule>
    <cfRule type="containsBlanks" dxfId="5323" priority="399" stopIfTrue="1">
      <formula>LEN(TRIM(K425))=0</formula>
    </cfRule>
  </conditionalFormatting>
  <conditionalFormatting sqref="E426:J426">
    <cfRule type="containsBlanks" dxfId="5322" priority="386" stopIfTrue="1">
      <formula>LEN(TRIM(E426))=0</formula>
    </cfRule>
    <cfRule type="cellIs" dxfId="5321" priority="387" stopIfTrue="1" operator="between">
      <formula>79.1</formula>
      <formula>100</formula>
    </cfRule>
    <cfRule type="cellIs" dxfId="5320" priority="388" stopIfTrue="1" operator="between">
      <formula>34.1</formula>
      <formula>79</formula>
    </cfRule>
    <cfRule type="cellIs" dxfId="5319" priority="389" stopIfTrue="1" operator="between">
      <formula>13.1</formula>
      <formula>34</formula>
    </cfRule>
    <cfRule type="cellIs" dxfId="5318" priority="390" stopIfTrue="1" operator="between">
      <formula>5.1</formula>
      <formula>13</formula>
    </cfRule>
    <cfRule type="cellIs" dxfId="5317" priority="391" stopIfTrue="1" operator="between">
      <formula>0</formula>
      <formula>5</formula>
    </cfRule>
    <cfRule type="containsBlanks" dxfId="5316" priority="392" stopIfTrue="1">
      <formula>LEN(TRIM(E426))=0</formula>
    </cfRule>
  </conditionalFormatting>
  <conditionalFormatting sqref="P426">
    <cfRule type="containsBlanks" dxfId="5315" priority="379" stopIfTrue="1">
      <formula>LEN(TRIM(P426))=0</formula>
    </cfRule>
    <cfRule type="cellIs" dxfId="5314" priority="380" stopIfTrue="1" operator="between">
      <formula>80.1</formula>
      <formula>100</formula>
    </cfRule>
    <cfRule type="cellIs" dxfId="5313" priority="381" stopIfTrue="1" operator="between">
      <formula>35.1</formula>
      <formula>80</formula>
    </cfRule>
    <cfRule type="cellIs" dxfId="5312" priority="382" stopIfTrue="1" operator="between">
      <formula>14.1</formula>
      <formula>35</formula>
    </cfRule>
    <cfRule type="cellIs" dxfId="5311" priority="383" stopIfTrue="1" operator="between">
      <formula>5.1</formula>
      <formula>14</formula>
    </cfRule>
    <cfRule type="cellIs" dxfId="5310" priority="384" stopIfTrue="1" operator="between">
      <formula>0</formula>
      <formula>5</formula>
    </cfRule>
    <cfRule type="containsBlanks" dxfId="5309" priority="385" stopIfTrue="1">
      <formula>LEN(TRIM(P426))=0</formula>
    </cfRule>
  </conditionalFormatting>
  <conditionalFormatting sqref="K426:O426">
    <cfRule type="containsBlanks" dxfId="5308" priority="372" stopIfTrue="1">
      <formula>LEN(TRIM(K426))=0</formula>
    </cfRule>
    <cfRule type="cellIs" dxfId="5307" priority="373" stopIfTrue="1" operator="between">
      <formula>79.1</formula>
      <formula>100</formula>
    </cfRule>
    <cfRule type="cellIs" dxfId="5306" priority="374" stopIfTrue="1" operator="between">
      <formula>34.1</formula>
      <formula>79</formula>
    </cfRule>
    <cfRule type="cellIs" dxfId="5305" priority="375" stopIfTrue="1" operator="between">
      <formula>13.1</formula>
      <formula>34</formula>
    </cfRule>
    <cfRule type="cellIs" dxfId="5304" priority="376" stopIfTrue="1" operator="between">
      <formula>5.1</formula>
      <formula>13</formula>
    </cfRule>
    <cfRule type="cellIs" dxfId="5303" priority="377" stopIfTrue="1" operator="between">
      <formula>0</formula>
      <formula>5</formula>
    </cfRule>
    <cfRule type="containsBlanks" dxfId="5302" priority="378" stopIfTrue="1">
      <formula>LEN(TRIM(K426))=0</formula>
    </cfRule>
  </conditionalFormatting>
  <conditionalFormatting sqref="E428:J428">
    <cfRule type="containsBlanks" dxfId="5301" priority="365" stopIfTrue="1">
      <formula>LEN(TRIM(E428))=0</formula>
    </cfRule>
    <cfRule type="cellIs" dxfId="5300" priority="366" stopIfTrue="1" operator="between">
      <formula>80.1</formula>
      <formula>100</formula>
    </cfRule>
    <cfRule type="cellIs" dxfId="5299" priority="367" stopIfTrue="1" operator="between">
      <formula>35.1</formula>
      <formula>80</formula>
    </cfRule>
    <cfRule type="cellIs" dxfId="5298" priority="368" stopIfTrue="1" operator="between">
      <formula>14.1</formula>
      <formula>35</formula>
    </cfRule>
    <cfRule type="cellIs" dxfId="5297" priority="369" stopIfTrue="1" operator="between">
      <formula>5.1</formula>
      <formula>14</formula>
    </cfRule>
    <cfRule type="cellIs" dxfId="5296" priority="370" stopIfTrue="1" operator="between">
      <formula>0</formula>
      <formula>5</formula>
    </cfRule>
    <cfRule type="containsBlanks" dxfId="5295" priority="371" stopIfTrue="1">
      <formula>LEN(TRIM(E428))=0</formula>
    </cfRule>
  </conditionalFormatting>
  <conditionalFormatting sqref="E429">
    <cfRule type="containsBlanks" dxfId="5294" priority="351" stopIfTrue="1">
      <formula>LEN(TRIM(E429))=0</formula>
    </cfRule>
    <cfRule type="cellIs" dxfId="5293" priority="352" stopIfTrue="1" operator="between">
      <formula>79.1</formula>
      <formula>100</formula>
    </cfRule>
    <cfRule type="cellIs" dxfId="5292" priority="353" stopIfTrue="1" operator="between">
      <formula>34.1</formula>
      <formula>79</formula>
    </cfRule>
    <cfRule type="cellIs" dxfId="5291" priority="354" stopIfTrue="1" operator="between">
      <formula>13.1</formula>
      <formula>34</formula>
    </cfRule>
    <cfRule type="cellIs" dxfId="5290" priority="355" stopIfTrue="1" operator="between">
      <formula>5.1</formula>
      <formula>13</formula>
    </cfRule>
    <cfRule type="cellIs" dxfId="5289" priority="356" stopIfTrue="1" operator="between">
      <formula>0</formula>
      <formula>5</formula>
    </cfRule>
    <cfRule type="containsBlanks" dxfId="5288" priority="357" stopIfTrue="1">
      <formula>LEN(TRIM(E429))=0</formula>
    </cfRule>
  </conditionalFormatting>
  <conditionalFormatting sqref="F429:G429 I429:J429">
    <cfRule type="containsBlanks" dxfId="5287" priority="344" stopIfTrue="1">
      <formula>LEN(TRIM(F429))=0</formula>
    </cfRule>
    <cfRule type="cellIs" dxfId="5286" priority="345" stopIfTrue="1" operator="between">
      <formula>79.1</formula>
      <formula>100</formula>
    </cfRule>
    <cfRule type="cellIs" dxfId="5285" priority="346" stopIfTrue="1" operator="between">
      <formula>34.1</formula>
      <formula>79</formula>
    </cfRule>
    <cfRule type="cellIs" dxfId="5284" priority="347" stopIfTrue="1" operator="between">
      <formula>13.1</formula>
      <formula>34</formula>
    </cfRule>
    <cfRule type="cellIs" dxfId="5283" priority="348" stopIfTrue="1" operator="between">
      <formula>5.1</formula>
      <formula>13</formula>
    </cfRule>
    <cfRule type="cellIs" dxfId="5282" priority="349" stopIfTrue="1" operator="between">
      <formula>0</formula>
      <formula>5</formula>
    </cfRule>
    <cfRule type="containsBlanks" dxfId="5281" priority="350" stopIfTrue="1">
      <formula>LEN(TRIM(F429))=0</formula>
    </cfRule>
  </conditionalFormatting>
  <conditionalFormatting sqref="K429:P429">
    <cfRule type="containsBlanks" dxfId="5280" priority="337" stopIfTrue="1">
      <formula>LEN(TRIM(K429))=0</formula>
    </cfRule>
    <cfRule type="cellIs" dxfId="5279" priority="338" stopIfTrue="1" operator="between">
      <formula>79.1</formula>
      <formula>100</formula>
    </cfRule>
    <cfRule type="cellIs" dxfId="5278" priority="339" stopIfTrue="1" operator="between">
      <formula>34.1</formula>
      <formula>79</formula>
    </cfRule>
    <cfRule type="cellIs" dxfId="5277" priority="340" stopIfTrue="1" operator="between">
      <formula>13.1</formula>
      <formula>34</formula>
    </cfRule>
    <cfRule type="cellIs" dxfId="5276" priority="341" stopIfTrue="1" operator="between">
      <formula>5.1</formula>
      <formula>13</formula>
    </cfRule>
    <cfRule type="cellIs" dxfId="5275" priority="342" stopIfTrue="1" operator="between">
      <formula>0</formula>
      <formula>5</formula>
    </cfRule>
    <cfRule type="containsBlanks" dxfId="5274" priority="343" stopIfTrue="1">
      <formula>LEN(TRIM(K429))=0</formula>
    </cfRule>
  </conditionalFormatting>
  <conditionalFormatting sqref="E430">
    <cfRule type="containsBlanks" dxfId="5273" priority="330" stopIfTrue="1">
      <formula>LEN(TRIM(E430))=0</formula>
    </cfRule>
    <cfRule type="cellIs" dxfId="5272" priority="331" stopIfTrue="1" operator="between">
      <formula>79.1</formula>
      <formula>100</formula>
    </cfRule>
    <cfRule type="cellIs" dxfId="5271" priority="332" stopIfTrue="1" operator="between">
      <formula>34.1</formula>
      <formula>79</formula>
    </cfRule>
    <cfRule type="cellIs" dxfId="5270" priority="333" stopIfTrue="1" operator="between">
      <formula>13.1</formula>
      <formula>34</formula>
    </cfRule>
    <cfRule type="cellIs" dxfId="5269" priority="334" stopIfTrue="1" operator="between">
      <formula>5.1</formula>
      <formula>13</formula>
    </cfRule>
    <cfRule type="cellIs" dxfId="5268" priority="335" stopIfTrue="1" operator="between">
      <formula>0</formula>
      <formula>5</formula>
    </cfRule>
    <cfRule type="containsBlanks" dxfId="5267" priority="336" stopIfTrue="1">
      <formula>LEN(TRIM(E430))=0</formula>
    </cfRule>
  </conditionalFormatting>
  <conditionalFormatting sqref="F430:J430">
    <cfRule type="containsBlanks" dxfId="5266" priority="323" stopIfTrue="1">
      <formula>LEN(TRIM(F430))=0</formula>
    </cfRule>
    <cfRule type="cellIs" dxfId="5265" priority="324" stopIfTrue="1" operator="between">
      <formula>79.1</formula>
      <formula>100</formula>
    </cfRule>
    <cfRule type="cellIs" dxfId="5264" priority="325" stopIfTrue="1" operator="between">
      <formula>34.1</formula>
      <formula>79</formula>
    </cfRule>
    <cfRule type="cellIs" dxfId="5263" priority="326" stopIfTrue="1" operator="between">
      <formula>13.1</formula>
      <formula>34</formula>
    </cfRule>
    <cfRule type="cellIs" dxfId="5262" priority="327" stopIfTrue="1" operator="between">
      <formula>5.1</formula>
      <formula>13</formula>
    </cfRule>
    <cfRule type="cellIs" dxfId="5261" priority="328" stopIfTrue="1" operator="between">
      <formula>0</formula>
      <formula>5</formula>
    </cfRule>
    <cfRule type="containsBlanks" dxfId="5260" priority="329" stopIfTrue="1">
      <formula>LEN(TRIM(F430))=0</formula>
    </cfRule>
  </conditionalFormatting>
  <conditionalFormatting sqref="K430:P430">
    <cfRule type="containsBlanks" dxfId="5259" priority="316" stopIfTrue="1">
      <formula>LEN(TRIM(K430))=0</formula>
    </cfRule>
    <cfRule type="cellIs" dxfId="5258" priority="317" stopIfTrue="1" operator="between">
      <formula>79.1</formula>
      <formula>100</formula>
    </cfRule>
    <cfRule type="cellIs" dxfId="5257" priority="318" stopIfTrue="1" operator="between">
      <formula>34.1</formula>
      <formula>79</formula>
    </cfRule>
    <cfRule type="cellIs" dxfId="5256" priority="319" stopIfTrue="1" operator="between">
      <formula>13.1</formula>
      <formula>34</formula>
    </cfRule>
    <cfRule type="cellIs" dxfId="5255" priority="320" stopIfTrue="1" operator="between">
      <formula>5.1</formula>
      <formula>13</formula>
    </cfRule>
    <cfRule type="cellIs" dxfId="5254" priority="321" stopIfTrue="1" operator="between">
      <formula>0</formula>
      <formula>5</formula>
    </cfRule>
    <cfRule type="containsBlanks" dxfId="5253" priority="322" stopIfTrue="1">
      <formula>LEN(TRIM(K430))=0</formula>
    </cfRule>
  </conditionalFormatting>
  <conditionalFormatting sqref="E431:J431">
    <cfRule type="containsBlanks" dxfId="5252" priority="309" stopIfTrue="1">
      <formula>LEN(TRIM(E431))=0</formula>
    </cfRule>
    <cfRule type="cellIs" dxfId="5251" priority="310" stopIfTrue="1" operator="between">
      <formula>80.1</formula>
      <formula>100</formula>
    </cfRule>
    <cfRule type="cellIs" dxfId="5250" priority="311" stopIfTrue="1" operator="between">
      <formula>35.1</formula>
      <formula>80</formula>
    </cfRule>
    <cfRule type="cellIs" dxfId="5249" priority="312" stopIfTrue="1" operator="between">
      <formula>14.1</formula>
      <formula>35</formula>
    </cfRule>
    <cfRule type="cellIs" dxfId="5248" priority="313" stopIfTrue="1" operator="between">
      <formula>5.1</formula>
      <formula>14</formula>
    </cfRule>
    <cfRule type="cellIs" dxfId="5247" priority="314" stopIfTrue="1" operator="between">
      <formula>0</formula>
      <formula>5</formula>
    </cfRule>
    <cfRule type="containsBlanks" dxfId="5246" priority="315" stopIfTrue="1">
      <formula>LEN(TRIM(E431))=0</formula>
    </cfRule>
  </conditionalFormatting>
  <conditionalFormatting sqref="K431:P431">
    <cfRule type="containsBlanks" dxfId="5245" priority="302" stopIfTrue="1">
      <formula>LEN(TRIM(K431))=0</formula>
    </cfRule>
    <cfRule type="cellIs" dxfId="5244" priority="303" stopIfTrue="1" operator="between">
      <formula>80.1</formula>
      <formula>100</formula>
    </cfRule>
    <cfRule type="cellIs" dxfId="5243" priority="304" stopIfTrue="1" operator="between">
      <formula>35.1</formula>
      <formula>80</formula>
    </cfRule>
    <cfRule type="cellIs" dxfId="5242" priority="305" stopIfTrue="1" operator="between">
      <formula>14.1</formula>
      <formula>35</formula>
    </cfRule>
    <cfRule type="cellIs" dxfId="5241" priority="306" stopIfTrue="1" operator="between">
      <formula>5.1</formula>
      <formula>14</formula>
    </cfRule>
    <cfRule type="cellIs" dxfId="5240" priority="307" stopIfTrue="1" operator="between">
      <formula>0</formula>
      <formula>5</formula>
    </cfRule>
    <cfRule type="containsBlanks" dxfId="5239" priority="308" stopIfTrue="1">
      <formula>LEN(TRIM(K431))=0</formula>
    </cfRule>
  </conditionalFormatting>
  <conditionalFormatting sqref="H429">
    <cfRule type="containsBlanks" dxfId="5238" priority="295" stopIfTrue="1">
      <formula>LEN(TRIM(H429))=0</formula>
    </cfRule>
    <cfRule type="cellIs" dxfId="5237" priority="296" stopIfTrue="1" operator="between">
      <formula>80.1</formula>
      <formula>100</formula>
    </cfRule>
    <cfRule type="cellIs" dxfId="5236" priority="297" stopIfTrue="1" operator="between">
      <formula>35.1</formula>
      <formula>80</formula>
    </cfRule>
    <cfRule type="cellIs" dxfId="5235" priority="298" stopIfTrue="1" operator="between">
      <formula>14.1</formula>
      <formula>35</formula>
    </cfRule>
    <cfRule type="cellIs" dxfId="5234" priority="299" stopIfTrue="1" operator="between">
      <formula>5.1</formula>
      <formula>14</formula>
    </cfRule>
    <cfRule type="cellIs" dxfId="5233" priority="300" stopIfTrue="1" operator="between">
      <formula>0</formula>
      <formula>5</formula>
    </cfRule>
    <cfRule type="containsBlanks" dxfId="5232" priority="301" stopIfTrue="1">
      <formula>LEN(TRIM(H429))=0</formula>
    </cfRule>
  </conditionalFormatting>
  <conditionalFormatting sqref="E432:P434">
    <cfRule type="containsBlanks" dxfId="5231" priority="288" stopIfTrue="1">
      <formula>LEN(TRIM(E432))=0</formula>
    </cfRule>
    <cfRule type="cellIs" dxfId="5230" priority="289" stopIfTrue="1" operator="between">
      <formula>80.1</formula>
      <formula>100</formula>
    </cfRule>
    <cfRule type="cellIs" dxfId="5229" priority="290" stopIfTrue="1" operator="between">
      <formula>35.1</formula>
      <formula>80</formula>
    </cfRule>
    <cfRule type="cellIs" dxfId="5228" priority="291" stopIfTrue="1" operator="between">
      <formula>14.1</formula>
      <formula>35</formula>
    </cfRule>
    <cfRule type="cellIs" dxfId="5227" priority="292" stopIfTrue="1" operator="between">
      <formula>5.1</formula>
      <formula>14</formula>
    </cfRule>
    <cfRule type="cellIs" dxfId="5226" priority="293" stopIfTrue="1" operator="between">
      <formula>0</formula>
      <formula>5</formula>
    </cfRule>
    <cfRule type="containsBlanks" dxfId="5225" priority="294" stopIfTrue="1">
      <formula>LEN(TRIM(E432))=0</formula>
    </cfRule>
  </conditionalFormatting>
  <conditionalFormatting sqref="E436:P436">
    <cfRule type="containsBlanks" dxfId="5224" priority="281" stopIfTrue="1">
      <formula>LEN(TRIM(E436))=0</formula>
    </cfRule>
    <cfRule type="cellIs" dxfId="5223" priority="282" stopIfTrue="1" operator="between">
      <formula>80.1</formula>
      <formula>100</formula>
    </cfRule>
    <cfRule type="cellIs" dxfId="5222" priority="283" stopIfTrue="1" operator="between">
      <formula>35.1</formula>
      <formula>80</formula>
    </cfRule>
    <cfRule type="cellIs" dxfId="5221" priority="284" stopIfTrue="1" operator="between">
      <formula>14.1</formula>
      <formula>35</formula>
    </cfRule>
    <cfRule type="cellIs" dxfId="5220" priority="285" stopIfTrue="1" operator="between">
      <formula>5.1</formula>
      <formula>14</formula>
    </cfRule>
    <cfRule type="cellIs" dxfId="5219" priority="286" stopIfTrue="1" operator="between">
      <formula>0</formula>
      <formula>5</formula>
    </cfRule>
    <cfRule type="containsBlanks" dxfId="5218" priority="287" stopIfTrue="1">
      <formula>LEN(TRIM(E436))=0</formula>
    </cfRule>
  </conditionalFormatting>
  <conditionalFormatting sqref="E437:P440">
    <cfRule type="containsBlanks" dxfId="5217" priority="274" stopIfTrue="1">
      <formula>LEN(TRIM(E437))=0</formula>
    </cfRule>
    <cfRule type="cellIs" dxfId="5216" priority="275" stopIfTrue="1" operator="between">
      <formula>80.1</formula>
      <formula>100</formula>
    </cfRule>
    <cfRule type="cellIs" dxfId="5215" priority="276" stopIfTrue="1" operator="between">
      <formula>35.1</formula>
      <formula>80</formula>
    </cfRule>
    <cfRule type="cellIs" dxfId="5214" priority="277" stopIfTrue="1" operator="between">
      <formula>14.1</formula>
      <formula>35</formula>
    </cfRule>
    <cfRule type="cellIs" dxfId="5213" priority="278" stopIfTrue="1" operator="between">
      <formula>5.1</formula>
      <formula>14</formula>
    </cfRule>
    <cfRule type="cellIs" dxfId="5212" priority="279" stopIfTrue="1" operator="between">
      <formula>0</formula>
      <formula>5</formula>
    </cfRule>
    <cfRule type="containsBlanks" dxfId="5211" priority="280" stopIfTrue="1">
      <formula>LEN(TRIM(E437))=0</formula>
    </cfRule>
  </conditionalFormatting>
  <conditionalFormatting sqref="E443:P443">
    <cfRule type="containsBlanks" dxfId="5210" priority="267" stopIfTrue="1">
      <formula>LEN(TRIM(E443))=0</formula>
    </cfRule>
    <cfRule type="cellIs" dxfId="5209" priority="268" stopIfTrue="1" operator="between">
      <formula>80.1</formula>
      <formula>100</formula>
    </cfRule>
    <cfRule type="cellIs" dxfId="5208" priority="269" stopIfTrue="1" operator="between">
      <formula>35.1</formula>
      <formula>80</formula>
    </cfRule>
    <cfRule type="cellIs" dxfId="5207" priority="270" stopIfTrue="1" operator="between">
      <formula>14.1</formula>
      <formula>35</formula>
    </cfRule>
    <cfRule type="cellIs" dxfId="5206" priority="271" stopIfTrue="1" operator="between">
      <formula>5.1</formula>
      <formula>14</formula>
    </cfRule>
    <cfRule type="cellIs" dxfId="5205" priority="272" stopIfTrue="1" operator="between">
      <formula>0</formula>
      <formula>5</formula>
    </cfRule>
    <cfRule type="containsBlanks" dxfId="5204" priority="273" stopIfTrue="1">
      <formula>LEN(TRIM(E443))=0</formula>
    </cfRule>
  </conditionalFormatting>
  <conditionalFormatting sqref="E435:P435">
    <cfRule type="containsBlanks" dxfId="5203" priority="260" stopIfTrue="1">
      <formula>LEN(TRIM(E435))=0</formula>
    </cfRule>
    <cfRule type="cellIs" dxfId="5202" priority="261" stopIfTrue="1" operator="between">
      <formula>80.1</formula>
      <formula>100</formula>
    </cfRule>
    <cfRule type="cellIs" dxfId="5201" priority="262" stopIfTrue="1" operator="between">
      <formula>35.1</formula>
      <formula>80</formula>
    </cfRule>
    <cfRule type="cellIs" dxfId="5200" priority="263" stopIfTrue="1" operator="between">
      <formula>14.1</formula>
      <formula>35</formula>
    </cfRule>
    <cfRule type="cellIs" dxfId="5199" priority="264" stopIfTrue="1" operator="between">
      <formula>5.1</formula>
      <formula>14</formula>
    </cfRule>
    <cfRule type="cellIs" dxfId="5198" priority="265" stopIfTrue="1" operator="between">
      <formula>0</formula>
      <formula>5</formula>
    </cfRule>
    <cfRule type="containsBlanks" dxfId="5197" priority="266" stopIfTrue="1">
      <formula>LEN(TRIM(E435))=0</formula>
    </cfRule>
  </conditionalFormatting>
  <conditionalFormatting sqref="E442:P442">
    <cfRule type="containsBlanks" dxfId="5196" priority="253" stopIfTrue="1">
      <formula>LEN(TRIM(E442))=0</formula>
    </cfRule>
    <cfRule type="cellIs" dxfId="5195" priority="254" stopIfTrue="1" operator="between">
      <formula>80.1</formula>
      <formula>100</formula>
    </cfRule>
    <cfRule type="cellIs" dxfId="5194" priority="255" stopIfTrue="1" operator="between">
      <formula>35.1</formula>
      <formula>80</formula>
    </cfRule>
    <cfRule type="cellIs" dxfId="5193" priority="256" stopIfTrue="1" operator="between">
      <formula>14.1</formula>
      <formula>35</formula>
    </cfRule>
    <cfRule type="cellIs" dxfId="5192" priority="257" stopIfTrue="1" operator="between">
      <formula>5.1</formula>
      <formula>14</formula>
    </cfRule>
    <cfRule type="cellIs" dxfId="5191" priority="258" stopIfTrue="1" operator="between">
      <formula>0</formula>
      <formula>5</formula>
    </cfRule>
    <cfRule type="containsBlanks" dxfId="5190" priority="259" stopIfTrue="1">
      <formula>LEN(TRIM(E442))=0</formula>
    </cfRule>
  </conditionalFormatting>
  <conditionalFormatting sqref="H461:P461 E461:F461 E462:P467 E445:P460">
    <cfRule type="containsBlanks" dxfId="5189" priority="246" stopIfTrue="1">
      <formula>LEN(TRIM(E445))=0</formula>
    </cfRule>
    <cfRule type="cellIs" dxfId="5188" priority="247" stopIfTrue="1" operator="between">
      <formula>80.1</formula>
      <formula>100</formula>
    </cfRule>
    <cfRule type="cellIs" dxfId="5187" priority="248" stopIfTrue="1" operator="between">
      <formula>35.1</formula>
      <formula>80</formula>
    </cfRule>
    <cfRule type="cellIs" dxfId="5186" priority="249" stopIfTrue="1" operator="between">
      <formula>14.1</formula>
      <formula>35</formula>
    </cfRule>
    <cfRule type="cellIs" dxfId="5185" priority="250" stopIfTrue="1" operator="between">
      <formula>5.1</formula>
      <formula>14</formula>
    </cfRule>
    <cfRule type="cellIs" dxfId="5184" priority="251" stopIfTrue="1" operator="between">
      <formula>0</formula>
      <formula>5</formula>
    </cfRule>
    <cfRule type="containsBlanks" dxfId="5183" priority="252" stopIfTrue="1">
      <formula>LEN(TRIM(E445))=0</formula>
    </cfRule>
  </conditionalFormatting>
  <conditionalFormatting sqref="E488:P492">
    <cfRule type="containsBlanks" dxfId="5182" priority="239" stopIfTrue="1">
      <formula>LEN(TRIM(E488))=0</formula>
    </cfRule>
    <cfRule type="cellIs" dxfId="5181" priority="240" stopIfTrue="1" operator="between">
      <formula>80.1</formula>
      <formula>100</formula>
    </cfRule>
    <cfRule type="cellIs" dxfId="5180" priority="241" stopIfTrue="1" operator="between">
      <formula>35.1</formula>
      <formula>80</formula>
    </cfRule>
    <cfRule type="cellIs" dxfId="5179" priority="242" stopIfTrue="1" operator="between">
      <formula>14.1</formula>
      <formula>35</formula>
    </cfRule>
    <cfRule type="cellIs" dxfId="5178" priority="243" stopIfTrue="1" operator="between">
      <formula>5.1</formula>
      <formula>14</formula>
    </cfRule>
    <cfRule type="cellIs" dxfId="5177" priority="244" stopIfTrue="1" operator="between">
      <formula>0</formula>
      <formula>5</formula>
    </cfRule>
    <cfRule type="containsBlanks" dxfId="5176" priority="245" stopIfTrue="1">
      <formula>LEN(TRIM(E488))=0</formula>
    </cfRule>
  </conditionalFormatting>
  <conditionalFormatting sqref="E494:P494">
    <cfRule type="containsBlanks" dxfId="5175" priority="232" stopIfTrue="1">
      <formula>LEN(TRIM(E494))=0</formula>
    </cfRule>
    <cfRule type="cellIs" dxfId="5174" priority="233" stopIfTrue="1" operator="between">
      <formula>80.1</formula>
      <formula>100</formula>
    </cfRule>
    <cfRule type="cellIs" dxfId="5173" priority="234" stopIfTrue="1" operator="between">
      <formula>35.1</formula>
      <formula>80</formula>
    </cfRule>
    <cfRule type="cellIs" dxfId="5172" priority="235" stopIfTrue="1" operator="between">
      <formula>14.1</formula>
      <formula>35</formula>
    </cfRule>
    <cfRule type="cellIs" dxfId="5171" priority="236" stopIfTrue="1" operator="between">
      <formula>5.1</formula>
      <formula>14</formula>
    </cfRule>
    <cfRule type="cellIs" dxfId="5170" priority="237" stopIfTrue="1" operator="between">
      <formula>0</formula>
      <formula>5</formula>
    </cfRule>
    <cfRule type="containsBlanks" dxfId="5169" priority="238" stopIfTrue="1">
      <formula>LEN(TRIM(E494))=0</formula>
    </cfRule>
  </conditionalFormatting>
  <conditionalFormatting sqref="E468:P470">
    <cfRule type="containsBlanks" dxfId="5168" priority="225" stopIfTrue="1">
      <formula>LEN(TRIM(E468))=0</formula>
    </cfRule>
    <cfRule type="cellIs" dxfId="5167" priority="226" stopIfTrue="1" operator="between">
      <formula>80.1</formula>
      <formula>100</formula>
    </cfRule>
    <cfRule type="cellIs" dxfId="5166" priority="227" stopIfTrue="1" operator="between">
      <formula>35.1</formula>
      <formula>80</formula>
    </cfRule>
    <cfRule type="cellIs" dxfId="5165" priority="228" stopIfTrue="1" operator="between">
      <formula>14.1</formula>
      <formula>35</formula>
    </cfRule>
    <cfRule type="cellIs" dxfId="5164" priority="229" stopIfTrue="1" operator="between">
      <formula>5.1</formula>
      <formula>14</formula>
    </cfRule>
    <cfRule type="cellIs" dxfId="5163" priority="230" stopIfTrue="1" operator="between">
      <formula>0</formula>
      <formula>5</formula>
    </cfRule>
    <cfRule type="containsBlanks" dxfId="5162" priority="231" stopIfTrue="1">
      <formula>LEN(TRIM(E468))=0</formula>
    </cfRule>
  </conditionalFormatting>
  <conditionalFormatting sqref="E472:P472">
    <cfRule type="containsBlanks" dxfId="5161" priority="218" stopIfTrue="1">
      <formula>LEN(TRIM(E472))=0</formula>
    </cfRule>
    <cfRule type="cellIs" dxfId="5160" priority="219" stopIfTrue="1" operator="between">
      <formula>80.1</formula>
      <formula>100</formula>
    </cfRule>
    <cfRule type="cellIs" dxfId="5159" priority="220" stopIfTrue="1" operator="between">
      <formula>35.1</formula>
      <formula>80</formula>
    </cfRule>
    <cfRule type="cellIs" dxfId="5158" priority="221" stopIfTrue="1" operator="between">
      <formula>14.1</formula>
      <formula>35</formula>
    </cfRule>
    <cfRule type="cellIs" dxfId="5157" priority="222" stopIfTrue="1" operator="between">
      <formula>5.1</formula>
      <formula>14</formula>
    </cfRule>
    <cfRule type="cellIs" dxfId="5156" priority="223" stopIfTrue="1" operator="between">
      <formula>0</formula>
      <formula>5</formula>
    </cfRule>
    <cfRule type="containsBlanks" dxfId="5155" priority="224" stopIfTrue="1">
      <formula>LEN(TRIM(E472))=0</formula>
    </cfRule>
  </conditionalFormatting>
  <conditionalFormatting sqref="E474:P474">
    <cfRule type="containsBlanks" dxfId="5154" priority="141" stopIfTrue="1">
      <formula>LEN(TRIM(E474))=0</formula>
    </cfRule>
    <cfRule type="cellIs" dxfId="5153" priority="142" stopIfTrue="1" operator="between">
      <formula>80.1</formula>
      <formula>100</formula>
    </cfRule>
    <cfRule type="cellIs" dxfId="5152" priority="143" stopIfTrue="1" operator="between">
      <formula>35.1</formula>
      <formula>80</formula>
    </cfRule>
    <cfRule type="cellIs" dxfId="5151" priority="144" stopIfTrue="1" operator="between">
      <formula>14.1</formula>
      <formula>35</formula>
    </cfRule>
    <cfRule type="cellIs" dxfId="5150" priority="145" stopIfTrue="1" operator="between">
      <formula>5.1</formula>
      <formula>14</formula>
    </cfRule>
    <cfRule type="cellIs" dxfId="5149" priority="146" stopIfTrue="1" operator="between">
      <formula>0</formula>
      <formula>5</formula>
    </cfRule>
    <cfRule type="containsBlanks" dxfId="5148" priority="147" stopIfTrue="1">
      <formula>LEN(TRIM(E474))=0</formula>
    </cfRule>
  </conditionalFormatting>
  <conditionalFormatting sqref="E475:P475">
    <cfRule type="containsBlanks" dxfId="5147" priority="204" stopIfTrue="1">
      <formula>LEN(TRIM(E475))=0</formula>
    </cfRule>
    <cfRule type="cellIs" dxfId="5146" priority="205" stopIfTrue="1" operator="between">
      <formula>80.1</formula>
      <formula>100</formula>
    </cfRule>
    <cfRule type="cellIs" dxfId="5145" priority="206" stopIfTrue="1" operator="between">
      <formula>35.1</formula>
      <formula>80</formula>
    </cfRule>
    <cfRule type="cellIs" dxfId="5144" priority="207" stopIfTrue="1" operator="between">
      <formula>14.1</formula>
      <formula>35</formula>
    </cfRule>
    <cfRule type="cellIs" dxfId="5143" priority="208" stopIfTrue="1" operator="between">
      <formula>5.1</formula>
      <formula>14</formula>
    </cfRule>
    <cfRule type="cellIs" dxfId="5142" priority="209" stopIfTrue="1" operator="between">
      <formula>0</formula>
      <formula>5</formula>
    </cfRule>
    <cfRule type="containsBlanks" dxfId="5141" priority="210" stopIfTrue="1">
      <formula>LEN(TRIM(E475))=0</formula>
    </cfRule>
  </conditionalFormatting>
  <conditionalFormatting sqref="E479:P479">
    <cfRule type="containsBlanks" dxfId="5140" priority="190" stopIfTrue="1">
      <formula>LEN(TRIM(E479))=0</formula>
    </cfRule>
    <cfRule type="cellIs" dxfId="5139" priority="191" stopIfTrue="1" operator="between">
      <formula>80.1</formula>
      <formula>100</formula>
    </cfRule>
    <cfRule type="cellIs" dxfId="5138" priority="192" stopIfTrue="1" operator="between">
      <formula>35.1</formula>
      <formula>80</formula>
    </cfRule>
    <cfRule type="cellIs" dxfId="5137" priority="193" stopIfTrue="1" operator="between">
      <formula>14.1</formula>
      <formula>35</formula>
    </cfRule>
    <cfRule type="cellIs" dxfId="5136" priority="194" stopIfTrue="1" operator="between">
      <formula>5.1</formula>
      <formula>14</formula>
    </cfRule>
    <cfRule type="cellIs" dxfId="5135" priority="195" stopIfTrue="1" operator="between">
      <formula>0</formula>
      <formula>5</formula>
    </cfRule>
    <cfRule type="containsBlanks" dxfId="5134" priority="196" stopIfTrue="1">
      <formula>LEN(TRIM(E479))=0</formula>
    </cfRule>
  </conditionalFormatting>
  <conditionalFormatting sqref="H481:P481 E481:F481">
    <cfRule type="containsBlanks" dxfId="5133" priority="183" stopIfTrue="1">
      <formula>LEN(TRIM(E481))=0</formula>
    </cfRule>
    <cfRule type="cellIs" dxfId="5132" priority="184" stopIfTrue="1" operator="between">
      <formula>80.1</formula>
      <formula>100</formula>
    </cfRule>
    <cfRule type="cellIs" dxfId="5131" priority="185" stopIfTrue="1" operator="between">
      <formula>35.1</formula>
      <formula>80</formula>
    </cfRule>
    <cfRule type="cellIs" dxfId="5130" priority="186" stopIfTrue="1" operator="between">
      <formula>14.1</formula>
      <formula>35</formula>
    </cfRule>
    <cfRule type="cellIs" dxfId="5129" priority="187" stopIfTrue="1" operator="between">
      <formula>5.1</formula>
      <formula>14</formula>
    </cfRule>
    <cfRule type="cellIs" dxfId="5128" priority="188" stopIfTrue="1" operator="between">
      <formula>0</formula>
      <formula>5</formula>
    </cfRule>
    <cfRule type="containsBlanks" dxfId="5127" priority="189" stopIfTrue="1">
      <formula>LEN(TRIM(E481))=0</formula>
    </cfRule>
  </conditionalFormatting>
  <conditionalFormatting sqref="E480:P480">
    <cfRule type="containsBlanks" dxfId="5126" priority="176" stopIfTrue="1">
      <formula>LEN(TRIM(E480))=0</formula>
    </cfRule>
    <cfRule type="cellIs" dxfId="5125" priority="177" stopIfTrue="1" operator="between">
      <formula>80.1</formula>
      <formula>100</formula>
    </cfRule>
    <cfRule type="cellIs" dxfId="5124" priority="178" stopIfTrue="1" operator="between">
      <formula>35.1</formula>
      <formula>80</formula>
    </cfRule>
    <cfRule type="cellIs" dxfId="5123" priority="179" stopIfTrue="1" operator="between">
      <formula>14.1</formula>
      <formula>35</formula>
    </cfRule>
    <cfRule type="cellIs" dxfId="5122" priority="180" stopIfTrue="1" operator="between">
      <formula>5.1</formula>
      <formula>14</formula>
    </cfRule>
    <cfRule type="cellIs" dxfId="5121" priority="181" stopIfTrue="1" operator="between">
      <formula>0</formula>
      <formula>5</formula>
    </cfRule>
    <cfRule type="containsBlanks" dxfId="5120" priority="182" stopIfTrue="1">
      <formula>LEN(TRIM(E480))=0</formula>
    </cfRule>
  </conditionalFormatting>
  <conditionalFormatting sqref="E483:P483">
    <cfRule type="containsBlanks" dxfId="5119" priority="169" stopIfTrue="1">
      <formula>LEN(TRIM(E483))=0</formula>
    </cfRule>
    <cfRule type="cellIs" dxfId="5118" priority="170" stopIfTrue="1" operator="between">
      <formula>80.1</formula>
      <formula>100</formula>
    </cfRule>
    <cfRule type="cellIs" dxfId="5117" priority="171" stopIfTrue="1" operator="between">
      <formula>35.1</formula>
      <formula>80</formula>
    </cfRule>
    <cfRule type="cellIs" dxfId="5116" priority="172" stopIfTrue="1" operator="between">
      <formula>14.1</formula>
      <formula>35</formula>
    </cfRule>
    <cfRule type="cellIs" dxfId="5115" priority="173" stopIfTrue="1" operator="between">
      <formula>5.1</formula>
      <formula>14</formula>
    </cfRule>
    <cfRule type="cellIs" dxfId="5114" priority="174" stopIfTrue="1" operator="between">
      <formula>0</formula>
      <formula>5</formula>
    </cfRule>
    <cfRule type="containsBlanks" dxfId="5113" priority="175" stopIfTrue="1">
      <formula>LEN(TRIM(E483))=0</formula>
    </cfRule>
  </conditionalFormatting>
  <conditionalFormatting sqref="E484:P484">
    <cfRule type="containsBlanks" dxfId="5112" priority="162" stopIfTrue="1">
      <formula>LEN(TRIM(E484))=0</formula>
    </cfRule>
    <cfRule type="cellIs" dxfId="5111" priority="163" stopIfTrue="1" operator="between">
      <formula>80.1</formula>
      <formula>100</formula>
    </cfRule>
    <cfRule type="cellIs" dxfId="5110" priority="164" stopIfTrue="1" operator="between">
      <formula>35.1</formula>
      <formula>80</formula>
    </cfRule>
    <cfRule type="cellIs" dxfId="5109" priority="165" stopIfTrue="1" operator="between">
      <formula>14.1</formula>
      <formula>35</formula>
    </cfRule>
    <cfRule type="cellIs" dxfId="5108" priority="166" stopIfTrue="1" operator="between">
      <formula>5.1</formula>
      <formula>14</formula>
    </cfRule>
    <cfRule type="cellIs" dxfId="5107" priority="167" stopIfTrue="1" operator="between">
      <formula>0</formula>
      <formula>5</formula>
    </cfRule>
    <cfRule type="containsBlanks" dxfId="5106" priority="168" stopIfTrue="1">
      <formula>LEN(TRIM(E484))=0</formula>
    </cfRule>
  </conditionalFormatting>
  <conditionalFormatting sqref="E485:P486">
    <cfRule type="containsBlanks" dxfId="5105" priority="155" stopIfTrue="1">
      <formula>LEN(TRIM(E485))=0</formula>
    </cfRule>
    <cfRule type="cellIs" dxfId="5104" priority="156" stopIfTrue="1" operator="between">
      <formula>80.1</formula>
      <formula>100</formula>
    </cfRule>
    <cfRule type="cellIs" dxfId="5103" priority="157" stopIfTrue="1" operator="between">
      <formula>35.1</formula>
      <formula>80</formula>
    </cfRule>
    <cfRule type="cellIs" dxfId="5102" priority="158" stopIfTrue="1" operator="between">
      <formula>14.1</formula>
      <formula>35</formula>
    </cfRule>
    <cfRule type="cellIs" dxfId="5101" priority="159" stopIfTrue="1" operator="between">
      <formula>5.1</formula>
      <formula>14</formula>
    </cfRule>
    <cfRule type="cellIs" dxfId="5100" priority="160" stopIfTrue="1" operator="between">
      <formula>0</formula>
      <formula>5</formula>
    </cfRule>
    <cfRule type="containsBlanks" dxfId="5099" priority="161" stopIfTrue="1">
      <formula>LEN(TRIM(E485))=0</formula>
    </cfRule>
  </conditionalFormatting>
  <conditionalFormatting sqref="E487:P487">
    <cfRule type="containsBlanks" dxfId="5098" priority="148" stopIfTrue="1">
      <formula>LEN(TRIM(E487))=0</formula>
    </cfRule>
    <cfRule type="cellIs" dxfId="5097" priority="149" stopIfTrue="1" operator="between">
      <formula>80.1</formula>
      <formula>100</formula>
    </cfRule>
    <cfRule type="cellIs" dxfId="5096" priority="150" stopIfTrue="1" operator="between">
      <formula>35.1</formula>
      <formula>80</formula>
    </cfRule>
    <cfRule type="cellIs" dxfId="5095" priority="151" stopIfTrue="1" operator="between">
      <formula>14.1</formula>
      <formula>35</formula>
    </cfRule>
    <cfRule type="cellIs" dxfId="5094" priority="152" stopIfTrue="1" operator="between">
      <formula>5.1</formula>
      <formula>14</formula>
    </cfRule>
    <cfRule type="cellIs" dxfId="5093" priority="153" stopIfTrue="1" operator="between">
      <formula>0</formula>
      <formula>5</formula>
    </cfRule>
    <cfRule type="containsBlanks" dxfId="5092" priority="154" stopIfTrue="1">
      <formula>LEN(TRIM(E487))=0</formula>
    </cfRule>
  </conditionalFormatting>
  <conditionalFormatting sqref="E495:P496">
    <cfRule type="containsBlanks" dxfId="5091" priority="134" stopIfTrue="1">
      <formula>LEN(TRIM(E495))=0</formula>
    </cfRule>
    <cfRule type="cellIs" dxfId="5090" priority="135" stopIfTrue="1" operator="between">
      <formula>80.1</formula>
      <formula>100</formula>
    </cfRule>
    <cfRule type="cellIs" dxfId="5089" priority="136" stopIfTrue="1" operator="between">
      <formula>35.1</formula>
      <formula>80</formula>
    </cfRule>
    <cfRule type="cellIs" dxfId="5088" priority="137" stopIfTrue="1" operator="between">
      <formula>14.1</formula>
      <formula>35</formula>
    </cfRule>
    <cfRule type="cellIs" dxfId="5087" priority="138" stopIfTrue="1" operator="between">
      <formula>5.1</formula>
      <formula>14</formula>
    </cfRule>
    <cfRule type="cellIs" dxfId="5086" priority="139" stopIfTrue="1" operator="between">
      <formula>0</formula>
      <formula>5</formula>
    </cfRule>
    <cfRule type="containsBlanks" dxfId="5085" priority="140" stopIfTrue="1">
      <formula>LEN(TRIM(E495))=0</formula>
    </cfRule>
  </conditionalFormatting>
  <conditionalFormatting sqref="E498:P498">
    <cfRule type="containsBlanks" dxfId="5084" priority="127" stopIfTrue="1">
      <formula>LEN(TRIM(E498))=0</formula>
    </cfRule>
    <cfRule type="cellIs" dxfId="5083" priority="128" stopIfTrue="1" operator="between">
      <formula>80.1</formula>
      <formula>100</formula>
    </cfRule>
    <cfRule type="cellIs" dxfId="5082" priority="129" stopIfTrue="1" operator="between">
      <formula>35.1</formula>
      <formula>80</formula>
    </cfRule>
    <cfRule type="cellIs" dxfId="5081" priority="130" stopIfTrue="1" operator="between">
      <formula>14.1</formula>
      <formula>35</formula>
    </cfRule>
    <cfRule type="cellIs" dxfId="5080" priority="131" stopIfTrue="1" operator="between">
      <formula>5.1</formula>
      <formula>14</formula>
    </cfRule>
    <cfRule type="cellIs" dxfId="5079" priority="132" stopIfTrue="1" operator="between">
      <formula>0</formula>
      <formula>5</formula>
    </cfRule>
    <cfRule type="containsBlanks" dxfId="5078" priority="133" stopIfTrue="1">
      <formula>LEN(TRIM(E498))=0</formula>
    </cfRule>
  </conditionalFormatting>
  <conditionalFormatting sqref="E500:P500">
    <cfRule type="containsBlanks" dxfId="5077" priority="120" stopIfTrue="1">
      <formula>LEN(TRIM(E500))=0</formula>
    </cfRule>
    <cfRule type="cellIs" dxfId="5076" priority="121" stopIfTrue="1" operator="between">
      <formula>80.1</formula>
      <formula>100</formula>
    </cfRule>
    <cfRule type="cellIs" dxfId="5075" priority="122" stopIfTrue="1" operator="between">
      <formula>35.1</formula>
      <formula>80</formula>
    </cfRule>
    <cfRule type="cellIs" dxfId="5074" priority="123" stopIfTrue="1" operator="between">
      <formula>14.1</formula>
      <formula>35</formula>
    </cfRule>
    <cfRule type="cellIs" dxfId="5073" priority="124" stopIfTrue="1" operator="between">
      <formula>5.1</formula>
      <formula>14</formula>
    </cfRule>
    <cfRule type="cellIs" dxfId="5072" priority="125" stopIfTrue="1" operator="between">
      <formula>0</formula>
      <formula>5</formula>
    </cfRule>
    <cfRule type="containsBlanks" dxfId="5071" priority="126" stopIfTrue="1">
      <formula>LEN(TRIM(E500))=0</formula>
    </cfRule>
  </conditionalFormatting>
  <conditionalFormatting sqref="E501:P501">
    <cfRule type="containsBlanks" dxfId="5070" priority="113" stopIfTrue="1">
      <formula>LEN(TRIM(E501))=0</formula>
    </cfRule>
    <cfRule type="cellIs" dxfId="5069" priority="114" stopIfTrue="1" operator="between">
      <formula>80.1</formula>
      <formula>100</formula>
    </cfRule>
    <cfRule type="cellIs" dxfId="5068" priority="115" stopIfTrue="1" operator="between">
      <formula>35.1</formula>
      <formula>80</formula>
    </cfRule>
    <cfRule type="cellIs" dxfId="5067" priority="116" stopIfTrue="1" operator="between">
      <formula>14.1</formula>
      <formula>35</formula>
    </cfRule>
    <cfRule type="cellIs" dxfId="5066" priority="117" stopIfTrue="1" operator="between">
      <formula>5.1</formula>
      <formula>14</formula>
    </cfRule>
    <cfRule type="cellIs" dxfId="5065" priority="118" stopIfTrue="1" operator="between">
      <formula>0</formula>
      <formula>5</formula>
    </cfRule>
    <cfRule type="containsBlanks" dxfId="5064" priority="119" stopIfTrue="1">
      <formula>LEN(TRIM(E501))=0</formula>
    </cfRule>
  </conditionalFormatting>
  <conditionalFormatting sqref="E503:P503">
    <cfRule type="containsBlanks" dxfId="5063" priority="106" stopIfTrue="1">
      <formula>LEN(TRIM(E503))=0</formula>
    </cfRule>
    <cfRule type="cellIs" dxfId="5062" priority="107" stopIfTrue="1" operator="between">
      <formula>80.1</formula>
      <formula>100</formula>
    </cfRule>
    <cfRule type="cellIs" dxfId="5061" priority="108" stopIfTrue="1" operator="between">
      <formula>35.1</formula>
      <formula>80</formula>
    </cfRule>
    <cfRule type="cellIs" dxfId="5060" priority="109" stopIfTrue="1" operator="between">
      <formula>14.1</formula>
      <formula>35</formula>
    </cfRule>
    <cfRule type="cellIs" dxfId="5059" priority="110" stopIfTrue="1" operator="between">
      <formula>5.1</formula>
      <formula>14</formula>
    </cfRule>
    <cfRule type="cellIs" dxfId="5058" priority="111" stopIfTrue="1" operator="between">
      <formula>0</formula>
      <formula>5</formula>
    </cfRule>
    <cfRule type="containsBlanks" dxfId="5057" priority="112" stopIfTrue="1">
      <formula>LEN(TRIM(E503))=0</formula>
    </cfRule>
  </conditionalFormatting>
  <conditionalFormatting sqref="E504:P505">
    <cfRule type="containsBlanks" dxfId="5056" priority="99" stopIfTrue="1">
      <formula>LEN(TRIM(E504))=0</formula>
    </cfRule>
    <cfRule type="cellIs" dxfId="5055" priority="100" stopIfTrue="1" operator="between">
      <formula>80.1</formula>
      <formula>100</formula>
    </cfRule>
    <cfRule type="cellIs" dxfId="5054" priority="101" stopIfTrue="1" operator="between">
      <formula>35.1</formula>
      <formula>80</formula>
    </cfRule>
    <cfRule type="cellIs" dxfId="5053" priority="102" stopIfTrue="1" operator="between">
      <formula>14.1</formula>
      <formula>35</formula>
    </cfRule>
    <cfRule type="cellIs" dxfId="5052" priority="103" stopIfTrue="1" operator="between">
      <formula>5.1</formula>
      <formula>14</formula>
    </cfRule>
    <cfRule type="cellIs" dxfId="5051" priority="104" stopIfTrue="1" operator="between">
      <formula>0</formula>
      <formula>5</formula>
    </cfRule>
    <cfRule type="containsBlanks" dxfId="5050" priority="105" stopIfTrue="1">
      <formula>LEN(TRIM(E504))=0</formula>
    </cfRule>
  </conditionalFormatting>
  <conditionalFormatting sqref="E506:P506">
    <cfRule type="containsBlanks" dxfId="5049" priority="92" stopIfTrue="1">
      <formula>LEN(TRIM(E506))=0</formula>
    </cfRule>
    <cfRule type="cellIs" dxfId="5048" priority="93" stopIfTrue="1" operator="between">
      <formula>80.1</formula>
      <formula>100</formula>
    </cfRule>
    <cfRule type="cellIs" dxfId="5047" priority="94" stopIfTrue="1" operator="between">
      <formula>35.1</formula>
      <formula>80</formula>
    </cfRule>
    <cfRule type="cellIs" dxfId="5046" priority="95" stopIfTrue="1" operator="between">
      <formula>14.1</formula>
      <formula>35</formula>
    </cfRule>
    <cfRule type="cellIs" dxfId="5045" priority="96" stopIfTrue="1" operator="between">
      <formula>5.1</formula>
      <formula>14</formula>
    </cfRule>
    <cfRule type="cellIs" dxfId="5044" priority="97" stopIfTrue="1" operator="between">
      <formula>0</formula>
      <formula>5</formula>
    </cfRule>
    <cfRule type="containsBlanks" dxfId="5043" priority="98" stopIfTrue="1">
      <formula>LEN(TRIM(E506))=0</formula>
    </cfRule>
  </conditionalFormatting>
  <conditionalFormatting sqref="E508:P508">
    <cfRule type="containsBlanks" dxfId="5042" priority="85" stopIfTrue="1">
      <formula>LEN(TRIM(E508))=0</formula>
    </cfRule>
    <cfRule type="cellIs" dxfId="5041" priority="86" stopIfTrue="1" operator="between">
      <formula>80.1</formula>
      <formula>100</formula>
    </cfRule>
    <cfRule type="cellIs" dxfId="5040" priority="87" stopIfTrue="1" operator="between">
      <formula>35.1</formula>
      <formula>80</formula>
    </cfRule>
    <cfRule type="cellIs" dxfId="5039" priority="88" stopIfTrue="1" operator="between">
      <formula>14.1</formula>
      <formula>35</formula>
    </cfRule>
    <cfRule type="cellIs" dxfId="5038" priority="89" stopIfTrue="1" operator="between">
      <formula>5.1</formula>
      <formula>14</formula>
    </cfRule>
    <cfRule type="cellIs" dxfId="5037" priority="90" stopIfTrue="1" operator="between">
      <formula>0</formula>
      <formula>5</formula>
    </cfRule>
    <cfRule type="containsBlanks" dxfId="5036" priority="91" stopIfTrue="1">
      <formula>LEN(TRIM(E508))=0</formula>
    </cfRule>
  </conditionalFormatting>
  <conditionalFormatting sqref="E499:F499 H499:P499">
    <cfRule type="containsBlanks" dxfId="5035" priority="78" stopIfTrue="1">
      <formula>LEN(TRIM(E499))=0</formula>
    </cfRule>
    <cfRule type="cellIs" dxfId="5034" priority="79" stopIfTrue="1" operator="between">
      <formula>80.1</formula>
      <formula>100</formula>
    </cfRule>
    <cfRule type="cellIs" dxfId="5033" priority="80" stopIfTrue="1" operator="between">
      <formula>35.1</formula>
      <formula>80</formula>
    </cfRule>
    <cfRule type="cellIs" dxfId="5032" priority="81" stopIfTrue="1" operator="between">
      <formula>14.1</formula>
      <formula>35</formula>
    </cfRule>
    <cfRule type="cellIs" dxfId="5031" priority="82" stopIfTrue="1" operator="between">
      <formula>5.1</formula>
      <formula>14</formula>
    </cfRule>
    <cfRule type="cellIs" dxfId="5030" priority="83" stopIfTrue="1" operator="between">
      <formula>0</formula>
      <formula>5</formula>
    </cfRule>
    <cfRule type="containsBlanks" dxfId="5029" priority="84" stopIfTrue="1">
      <formula>LEN(TRIM(E499))=0</formula>
    </cfRule>
  </conditionalFormatting>
  <conditionalFormatting sqref="E512:P512">
    <cfRule type="containsBlanks" dxfId="5028" priority="71" stopIfTrue="1">
      <formula>LEN(TRIM(E512))=0</formula>
    </cfRule>
    <cfRule type="cellIs" dxfId="5027" priority="72" stopIfTrue="1" operator="between">
      <formula>80.1</formula>
      <formula>100</formula>
    </cfRule>
    <cfRule type="cellIs" dxfId="5026" priority="73" stopIfTrue="1" operator="between">
      <formula>35.1</formula>
      <formula>80</formula>
    </cfRule>
    <cfRule type="cellIs" dxfId="5025" priority="74" stopIfTrue="1" operator="between">
      <formula>14.1</formula>
      <formula>35</formula>
    </cfRule>
    <cfRule type="cellIs" dxfId="5024" priority="75" stopIfTrue="1" operator="between">
      <formula>5.1</formula>
      <formula>14</formula>
    </cfRule>
    <cfRule type="cellIs" dxfId="5023" priority="76" stopIfTrue="1" operator="between">
      <formula>0</formula>
      <formula>5</formula>
    </cfRule>
    <cfRule type="containsBlanks" dxfId="5022" priority="77" stopIfTrue="1">
      <formula>LEN(TRIM(E512))=0</formula>
    </cfRule>
  </conditionalFormatting>
  <conditionalFormatting sqref="E513:P513">
    <cfRule type="containsBlanks" dxfId="5021" priority="64" stopIfTrue="1">
      <formula>LEN(TRIM(E513))=0</formula>
    </cfRule>
    <cfRule type="cellIs" dxfId="5020" priority="65" stopIfTrue="1" operator="between">
      <formula>80.1</formula>
      <formula>100</formula>
    </cfRule>
    <cfRule type="cellIs" dxfId="5019" priority="66" stopIfTrue="1" operator="between">
      <formula>35.1</formula>
      <formula>80</formula>
    </cfRule>
    <cfRule type="cellIs" dxfId="5018" priority="67" stopIfTrue="1" operator="between">
      <formula>14.1</formula>
      <formula>35</formula>
    </cfRule>
    <cfRule type="cellIs" dxfId="5017" priority="68" stopIfTrue="1" operator="between">
      <formula>5.1</formula>
      <formula>14</formula>
    </cfRule>
    <cfRule type="cellIs" dxfId="5016" priority="69" stopIfTrue="1" operator="between">
      <formula>0</formula>
      <formula>5</formula>
    </cfRule>
    <cfRule type="containsBlanks" dxfId="5015" priority="70" stopIfTrue="1">
      <formula>LEN(TRIM(E513))=0</formula>
    </cfRule>
  </conditionalFormatting>
  <conditionalFormatting sqref="E510:P510">
    <cfRule type="containsBlanks" dxfId="5014" priority="57" stopIfTrue="1">
      <formula>LEN(TRIM(E510))=0</formula>
    </cfRule>
    <cfRule type="cellIs" dxfId="5013" priority="58" stopIfTrue="1" operator="between">
      <formula>80.1</formula>
      <formula>100</formula>
    </cfRule>
    <cfRule type="cellIs" dxfId="5012" priority="59" stopIfTrue="1" operator="between">
      <formula>35.1</formula>
      <formula>80</formula>
    </cfRule>
    <cfRule type="cellIs" dxfId="5011" priority="60" stopIfTrue="1" operator="between">
      <formula>14.1</formula>
      <formula>35</formula>
    </cfRule>
    <cfRule type="cellIs" dxfId="5010" priority="61" stopIfTrue="1" operator="between">
      <formula>5.1</formula>
      <formula>14</formula>
    </cfRule>
    <cfRule type="cellIs" dxfId="5009" priority="62" stopIfTrue="1" operator="between">
      <formula>0</formula>
      <formula>5</formula>
    </cfRule>
    <cfRule type="containsBlanks" dxfId="5008" priority="63" stopIfTrue="1">
      <formula>LEN(TRIM(E510))=0</formula>
    </cfRule>
  </conditionalFormatting>
  <conditionalFormatting sqref="E514:P514">
    <cfRule type="containsBlanks" dxfId="5007" priority="50" stopIfTrue="1">
      <formula>LEN(TRIM(E514))=0</formula>
    </cfRule>
    <cfRule type="cellIs" dxfId="5006" priority="51" stopIfTrue="1" operator="between">
      <formula>80.1</formula>
      <formula>100</formula>
    </cfRule>
    <cfRule type="cellIs" dxfId="5005" priority="52" stopIfTrue="1" operator="between">
      <formula>35.1</formula>
      <formula>80</formula>
    </cfRule>
    <cfRule type="cellIs" dxfId="5004" priority="53" stopIfTrue="1" operator="between">
      <formula>14.1</formula>
      <formula>35</formula>
    </cfRule>
    <cfRule type="cellIs" dxfId="5003" priority="54" stopIfTrue="1" operator="between">
      <formula>5.1</formula>
      <formula>14</formula>
    </cfRule>
    <cfRule type="cellIs" dxfId="5002" priority="55" stopIfTrue="1" operator="between">
      <formula>0</formula>
      <formula>5</formula>
    </cfRule>
    <cfRule type="containsBlanks" dxfId="5001" priority="56" stopIfTrue="1">
      <formula>LEN(TRIM(E514))=0</formula>
    </cfRule>
  </conditionalFormatting>
  <conditionalFormatting sqref="E516:P516">
    <cfRule type="containsBlanks" dxfId="5000" priority="43" stopIfTrue="1">
      <formula>LEN(TRIM(E516))=0</formula>
    </cfRule>
    <cfRule type="cellIs" dxfId="4999" priority="44" stopIfTrue="1" operator="between">
      <formula>80.1</formula>
      <formula>100</formula>
    </cfRule>
    <cfRule type="cellIs" dxfId="4998" priority="45" stopIfTrue="1" operator="between">
      <formula>35.1</formula>
      <formula>80</formula>
    </cfRule>
    <cfRule type="cellIs" dxfId="4997" priority="46" stopIfTrue="1" operator="between">
      <formula>14.1</formula>
      <formula>35</formula>
    </cfRule>
    <cfRule type="cellIs" dxfId="4996" priority="47" stopIfTrue="1" operator="between">
      <formula>5.1</formula>
      <formula>14</formula>
    </cfRule>
    <cfRule type="cellIs" dxfId="4995" priority="48" stopIfTrue="1" operator="between">
      <formula>0</formula>
      <formula>5</formula>
    </cfRule>
    <cfRule type="containsBlanks" dxfId="4994" priority="49" stopIfTrue="1">
      <formula>LEN(TRIM(E516))=0</formula>
    </cfRule>
  </conditionalFormatting>
  <conditionalFormatting sqref="E511:P511">
    <cfRule type="containsBlanks" dxfId="4993" priority="36" stopIfTrue="1">
      <formula>LEN(TRIM(E511))=0</formula>
    </cfRule>
    <cfRule type="cellIs" dxfId="4992" priority="37" stopIfTrue="1" operator="between">
      <formula>80.1</formula>
      <formula>100</formula>
    </cfRule>
    <cfRule type="cellIs" dxfId="4991" priority="38" stopIfTrue="1" operator="between">
      <formula>35.1</formula>
      <formula>80</formula>
    </cfRule>
    <cfRule type="cellIs" dxfId="4990" priority="39" stopIfTrue="1" operator="between">
      <formula>14.1</formula>
      <formula>35</formula>
    </cfRule>
    <cfRule type="cellIs" dxfId="4989" priority="40" stopIfTrue="1" operator="between">
      <formula>5.1</formula>
      <formula>14</formula>
    </cfRule>
    <cfRule type="cellIs" dxfId="4988" priority="41" stopIfTrue="1" operator="between">
      <formula>0</formula>
      <formula>5</formula>
    </cfRule>
    <cfRule type="containsBlanks" dxfId="4987" priority="42" stopIfTrue="1">
      <formula>LEN(TRIM(E511))=0</formula>
    </cfRule>
  </conditionalFormatting>
  <conditionalFormatting sqref="E515:P515">
    <cfRule type="containsBlanks" dxfId="4986" priority="29" stopIfTrue="1">
      <formula>LEN(TRIM(E515))=0</formula>
    </cfRule>
    <cfRule type="cellIs" dxfId="4985" priority="30" stopIfTrue="1" operator="between">
      <formula>80.1</formula>
      <formula>100</formula>
    </cfRule>
    <cfRule type="cellIs" dxfId="4984" priority="31" stopIfTrue="1" operator="between">
      <formula>35.1</formula>
      <formula>80</formula>
    </cfRule>
    <cfRule type="cellIs" dxfId="4983" priority="32" stopIfTrue="1" operator="between">
      <formula>14.1</formula>
      <formula>35</formula>
    </cfRule>
    <cfRule type="cellIs" dxfId="4982" priority="33" stopIfTrue="1" operator="between">
      <formula>5.1</formula>
      <formula>14</formula>
    </cfRule>
    <cfRule type="cellIs" dxfId="4981" priority="34" stopIfTrue="1" operator="between">
      <formula>0</formula>
      <formula>5</formula>
    </cfRule>
    <cfRule type="containsBlanks" dxfId="4980" priority="35" stopIfTrue="1">
      <formula>LEN(TRIM(E515))=0</formula>
    </cfRule>
  </conditionalFormatting>
  <conditionalFormatting sqref="E519:P519">
    <cfRule type="containsBlanks" dxfId="4979" priority="22" stopIfTrue="1">
      <formula>LEN(TRIM(E519))=0</formula>
    </cfRule>
    <cfRule type="cellIs" dxfId="4978" priority="23" stopIfTrue="1" operator="between">
      <formula>80.1</formula>
      <formula>100</formula>
    </cfRule>
    <cfRule type="cellIs" dxfId="4977" priority="24" stopIfTrue="1" operator="between">
      <formula>35.1</formula>
      <formula>80</formula>
    </cfRule>
    <cfRule type="cellIs" dxfId="4976" priority="25" stopIfTrue="1" operator="between">
      <formula>14.1</formula>
      <formula>35</formula>
    </cfRule>
    <cfRule type="cellIs" dxfId="4975" priority="26" stopIfTrue="1" operator="between">
      <formula>5.1</formula>
      <formula>14</formula>
    </cfRule>
    <cfRule type="cellIs" dxfId="4974" priority="27" stopIfTrue="1" operator="between">
      <formula>0</formula>
      <formula>5</formula>
    </cfRule>
    <cfRule type="containsBlanks" dxfId="4973" priority="28" stopIfTrue="1">
      <formula>LEN(TRIM(E519))=0</formula>
    </cfRule>
  </conditionalFormatting>
  <conditionalFormatting sqref="E520:P520">
    <cfRule type="containsBlanks" dxfId="4972" priority="15" stopIfTrue="1">
      <formula>LEN(TRIM(E520))=0</formula>
    </cfRule>
    <cfRule type="cellIs" dxfId="4971" priority="16" stopIfTrue="1" operator="between">
      <formula>80.1</formula>
      <formula>100</formula>
    </cfRule>
    <cfRule type="cellIs" dxfId="4970" priority="17" stopIfTrue="1" operator="between">
      <formula>35.1</formula>
      <formula>80</formula>
    </cfRule>
    <cfRule type="cellIs" dxfId="4969" priority="18" stopIfTrue="1" operator="between">
      <formula>14.1</formula>
      <formula>35</formula>
    </cfRule>
    <cfRule type="cellIs" dxfId="4968" priority="19" stopIfTrue="1" operator="between">
      <formula>5.1</formula>
      <formula>14</formula>
    </cfRule>
    <cfRule type="cellIs" dxfId="4967" priority="20" stopIfTrue="1" operator="between">
      <formula>0</formula>
      <formula>5</formula>
    </cfRule>
    <cfRule type="containsBlanks" dxfId="4966" priority="21" stopIfTrue="1">
      <formula>LEN(TRIM(E520))=0</formula>
    </cfRule>
  </conditionalFormatting>
  <conditionalFormatting sqref="E517:P517">
    <cfRule type="containsBlanks" dxfId="4965" priority="8" stopIfTrue="1">
      <formula>LEN(TRIM(E517))=0</formula>
    </cfRule>
    <cfRule type="cellIs" dxfId="4964" priority="9" stopIfTrue="1" operator="between">
      <formula>80.1</formula>
      <formula>100</formula>
    </cfRule>
    <cfRule type="cellIs" dxfId="4963" priority="10" stopIfTrue="1" operator="between">
      <formula>35.1</formula>
      <formula>80</formula>
    </cfRule>
    <cfRule type="cellIs" dxfId="4962" priority="11" stopIfTrue="1" operator="between">
      <formula>14.1</formula>
      <formula>35</formula>
    </cfRule>
    <cfRule type="cellIs" dxfId="4961" priority="12" stopIfTrue="1" operator="between">
      <formula>5.1</formula>
      <formula>14</formula>
    </cfRule>
    <cfRule type="cellIs" dxfId="4960" priority="13" stopIfTrue="1" operator="between">
      <formula>0</formula>
      <formula>5</formula>
    </cfRule>
    <cfRule type="containsBlanks" dxfId="4959" priority="14" stopIfTrue="1">
      <formula>LEN(TRIM(E517))=0</formula>
    </cfRule>
  </conditionalFormatting>
  <conditionalFormatting sqref="E518:P518">
    <cfRule type="containsBlanks" dxfId="4958" priority="1" stopIfTrue="1">
      <formula>LEN(TRIM(E518))=0</formula>
    </cfRule>
    <cfRule type="cellIs" dxfId="4957" priority="2" stopIfTrue="1" operator="between">
      <formula>80.1</formula>
      <formula>100</formula>
    </cfRule>
    <cfRule type="cellIs" dxfId="4956" priority="3" stopIfTrue="1" operator="between">
      <formula>35.1</formula>
      <formula>80</formula>
    </cfRule>
    <cfRule type="cellIs" dxfId="4955" priority="4" stopIfTrue="1" operator="between">
      <formula>14.1</formula>
      <formula>35</formula>
    </cfRule>
    <cfRule type="cellIs" dxfId="4954" priority="5" stopIfTrue="1" operator="between">
      <formula>5.1</formula>
      <formula>14</formula>
    </cfRule>
    <cfRule type="cellIs" dxfId="4953" priority="6" stopIfTrue="1" operator="between">
      <formula>0</formula>
      <formula>5</formula>
    </cfRule>
    <cfRule type="containsBlanks" dxfId="4952" priority="7" stopIfTrue="1">
      <formula>LEN(TRIM(E518))=0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ignoredErrors>
    <ignoredError sqref="Q83:Q84 Q77:Q78" formulaRange="1"/>
  </ignoredErrors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W734"/>
  <sheetViews>
    <sheetView zoomScale="70" zoomScaleNormal="70" workbookViewId="0">
      <selection activeCell="A11" sqref="A11"/>
    </sheetView>
  </sheetViews>
  <sheetFormatPr baseColWidth="10" defaultColWidth="0" defaultRowHeight="12.75" customHeight="1" zeroHeight="1"/>
  <cols>
    <col min="1" max="1" width="40" style="34" customWidth="1"/>
    <col min="2" max="2" width="46.42578125" style="14" customWidth="1"/>
    <col min="3" max="3" width="63.42578125" style="19" customWidth="1"/>
    <col min="4" max="4" width="23.5703125" style="234" customWidth="1"/>
    <col min="5" max="18" width="10.7109375" style="13" customWidth="1"/>
    <col min="19" max="19" width="42.28515625" style="13" bestFit="1" customWidth="1"/>
    <col min="20" max="20" width="9.85546875" style="13" hidden="1" customWidth="1"/>
    <col min="21" max="16384" width="11.42578125" style="13" hidden="1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4455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15.75" customHeight="1">
      <c r="A5" s="109"/>
      <c r="B5" s="694" t="s">
        <v>4477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6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32" customFormat="1" ht="1.5" customHeight="1">
      <c r="A7" s="109"/>
      <c r="B7" s="173"/>
      <c r="C7" s="300"/>
      <c r="D7" s="300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</row>
    <row r="8" spans="1:23" s="235" customFormat="1" ht="27" customHeight="1">
      <c r="A8" s="392" t="s">
        <v>4339</v>
      </c>
      <c r="B8" s="102"/>
      <c r="C8" s="98"/>
      <c r="D8" s="10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03"/>
    </row>
    <row r="9" spans="1:23" s="97" customFormat="1" ht="18" customHeight="1">
      <c r="A9" s="698" t="s">
        <v>37</v>
      </c>
      <c r="B9" s="696" t="s">
        <v>38</v>
      </c>
      <c r="C9" s="696" t="s">
        <v>254</v>
      </c>
      <c r="D9" s="715" t="s">
        <v>402</v>
      </c>
      <c r="E9" s="696" t="s">
        <v>33</v>
      </c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713" t="s">
        <v>34</v>
      </c>
      <c r="R9" s="713" t="s">
        <v>36</v>
      </c>
      <c r="S9" s="696" t="s">
        <v>35</v>
      </c>
      <c r="T9" s="111"/>
    </row>
    <row r="10" spans="1:23" s="97" customFormat="1" ht="33" customHeight="1">
      <c r="A10" s="698"/>
      <c r="B10" s="696"/>
      <c r="C10" s="696"/>
      <c r="D10" s="716"/>
      <c r="E10" s="231" t="s">
        <v>21</v>
      </c>
      <c r="F10" s="231" t="s">
        <v>22</v>
      </c>
      <c r="G10" s="231" t="s">
        <v>23</v>
      </c>
      <c r="H10" s="231" t="s">
        <v>24</v>
      </c>
      <c r="I10" s="231" t="s">
        <v>25</v>
      </c>
      <c r="J10" s="231" t="s">
        <v>26</v>
      </c>
      <c r="K10" s="231" t="s">
        <v>27</v>
      </c>
      <c r="L10" s="231" t="s">
        <v>28</v>
      </c>
      <c r="M10" s="231" t="s">
        <v>29</v>
      </c>
      <c r="N10" s="231" t="s">
        <v>30</v>
      </c>
      <c r="O10" s="231" t="s">
        <v>31</v>
      </c>
      <c r="P10" s="231" t="s">
        <v>32</v>
      </c>
      <c r="Q10" s="713"/>
      <c r="R10" s="713"/>
      <c r="S10" s="696"/>
      <c r="T10" s="111"/>
    </row>
    <row r="11" spans="1:23" s="97" customFormat="1" ht="36.950000000000003" customHeight="1">
      <c r="A11" s="452" t="s">
        <v>230</v>
      </c>
      <c r="B11" s="344" t="s">
        <v>14</v>
      </c>
      <c r="C11" s="344" t="s">
        <v>364</v>
      </c>
      <c r="D11" s="460">
        <v>400</v>
      </c>
      <c r="E11" s="441"/>
      <c r="F11" s="441"/>
      <c r="G11" s="441"/>
      <c r="H11" s="441"/>
      <c r="I11" s="441"/>
      <c r="J11" s="441"/>
      <c r="K11" s="441"/>
      <c r="L11" s="441"/>
      <c r="M11" s="441">
        <v>97.35</v>
      </c>
      <c r="N11" s="441"/>
      <c r="O11" s="441"/>
      <c r="P11" s="441"/>
      <c r="Q11" s="358">
        <f t="shared" ref="Q11:Q42" si="0">AVERAGE(E11:P11)</f>
        <v>97.35</v>
      </c>
      <c r="R11" s="359" t="str">
        <f t="shared" ref="R11:R42" si="1">IF(Q11&lt;5,"SI","NO")</f>
        <v>NO</v>
      </c>
      <c r="S11" s="670" t="str">
        <f t="shared" ref="S11:S42" si="2">IF(Q11&lt;=5,"Sin Riesgo",IF(Q11 &lt;=14,"Bajo",IF(Q11&lt;=35,"Medio",IF(Q11&lt;=80,"Alto","Inviable Sanitariamente"))))</f>
        <v>Inviable Sanitariamente</v>
      </c>
      <c r="T11" s="113"/>
    </row>
    <row r="12" spans="1:23" s="97" customFormat="1" ht="36.950000000000003" customHeight="1">
      <c r="A12" s="452" t="s">
        <v>230</v>
      </c>
      <c r="B12" s="340" t="s">
        <v>363</v>
      </c>
      <c r="C12" s="340" t="s">
        <v>1676</v>
      </c>
      <c r="D12" s="460">
        <v>1440</v>
      </c>
      <c r="E12" s="441"/>
      <c r="F12" s="441"/>
      <c r="G12" s="441"/>
      <c r="H12" s="441"/>
      <c r="I12" s="441"/>
      <c r="J12" s="441"/>
      <c r="K12" s="441"/>
      <c r="L12" s="441"/>
      <c r="M12" s="441">
        <v>97.35</v>
      </c>
      <c r="N12" s="441"/>
      <c r="O12" s="441"/>
      <c r="P12" s="441"/>
      <c r="Q12" s="358">
        <f t="shared" si="0"/>
        <v>97.35</v>
      </c>
      <c r="R12" s="320" t="str">
        <f t="shared" si="1"/>
        <v>NO</v>
      </c>
      <c r="S12" s="670" t="str">
        <f t="shared" si="2"/>
        <v>Inviable Sanitariamente</v>
      </c>
    </row>
    <row r="13" spans="1:23" s="97" customFormat="1" ht="32.1" customHeight="1">
      <c r="A13" s="452" t="s">
        <v>230</v>
      </c>
      <c r="B13" s="340" t="s">
        <v>13</v>
      </c>
      <c r="C13" s="340" t="s">
        <v>1677</v>
      </c>
      <c r="D13" s="460">
        <v>320</v>
      </c>
      <c r="E13" s="441"/>
      <c r="F13" s="441"/>
      <c r="G13" s="441"/>
      <c r="H13" s="441"/>
      <c r="I13" s="441"/>
      <c r="J13" s="441"/>
      <c r="K13" s="441"/>
      <c r="L13" s="441"/>
      <c r="M13" s="441">
        <v>53.1</v>
      </c>
      <c r="N13" s="441"/>
      <c r="O13" s="441"/>
      <c r="P13" s="441"/>
      <c r="Q13" s="358">
        <f t="shared" si="0"/>
        <v>53.1</v>
      </c>
      <c r="R13" s="320" t="str">
        <f t="shared" si="1"/>
        <v>NO</v>
      </c>
      <c r="S13" s="670" t="str">
        <f t="shared" si="2"/>
        <v>Alto</v>
      </c>
    </row>
    <row r="14" spans="1:23" s="97" customFormat="1" ht="32.1" customHeight="1">
      <c r="A14" s="452" t="s">
        <v>230</v>
      </c>
      <c r="B14" s="340" t="s">
        <v>1678</v>
      </c>
      <c r="C14" s="340" t="s">
        <v>1679</v>
      </c>
      <c r="D14" s="460">
        <v>50</v>
      </c>
      <c r="E14" s="441"/>
      <c r="F14" s="441"/>
      <c r="G14" s="441"/>
      <c r="H14" s="441"/>
      <c r="I14" s="441"/>
      <c r="J14" s="441"/>
      <c r="K14" s="441"/>
      <c r="L14" s="441"/>
      <c r="M14" s="441">
        <v>97.35</v>
      </c>
      <c r="N14" s="441"/>
      <c r="O14" s="441"/>
      <c r="P14" s="441"/>
      <c r="Q14" s="358">
        <f t="shared" si="0"/>
        <v>97.35</v>
      </c>
      <c r="R14" s="320" t="str">
        <f t="shared" si="1"/>
        <v>NO</v>
      </c>
      <c r="S14" s="670" t="str">
        <f t="shared" si="2"/>
        <v>Inviable Sanitariamente</v>
      </c>
    </row>
    <row r="15" spans="1:23" s="97" customFormat="1" ht="32.1" customHeight="1">
      <c r="A15" s="452" t="s">
        <v>230</v>
      </c>
      <c r="B15" s="340" t="s">
        <v>1680</v>
      </c>
      <c r="C15" s="340" t="s">
        <v>1681</v>
      </c>
      <c r="D15" s="460">
        <v>150</v>
      </c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>
        <v>97.35</v>
      </c>
      <c r="P15" s="441"/>
      <c r="Q15" s="358">
        <f t="shared" si="0"/>
        <v>97.35</v>
      </c>
      <c r="R15" s="320" t="str">
        <f t="shared" si="1"/>
        <v>NO</v>
      </c>
      <c r="S15" s="670" t="str">
        <f t="shared" si="2"/>
        <v>Inviable Sanitariamente</v>
      </c>
    </row>
    <row r="16" spans="1:23" s="97" customFormat="1" ht="32.1" customHeight="1">
      <c r="A16" s="452" t="s">
        <v>230</v>
      </c>
      <c r="B16" s="340" t="s">
        <v>1682</v>
      </c>
      <c r="C16" s="340" t="s">
        <v>1683</v>
      </c>
      <c r="D16" s="460">
        <v>45</v>
      </c>
      <c r="E16" s="441"/>
      <c r="F16" s="441"/>
      <c r="G16" s="441"/>
      <c r="H16" s="441"/>
      <c r="I16" s="441"/>
      <c r="J16" s="441"/>
      <c r="K16" s="441"/>
      <c r="L16" s="441"/>
      <c r="M16" s="441">
        <v>97.35</v>
      </c>
      <c r="N16" s="441"/>
      <c r="O16" s="441"/>
      <c r="P16" s="441"/>
      <c r="Q16" s="358">
        <f t="shared" si="0"/>
        <v>97.35</v>
      </c>
      <c r="R16" s="320" t="str">
        <f t="shared" si="1"/>
        <v>NO</v>
      </c>
      <c r="S16" s="670" t="str">
        <f t="shared" si="2"/>
        <v>Inviable Sanitariamente</v>
      </c>
    </row>
    <row r="17" spans="1:19" s="97" customFormat="1" ht="32.1" customHeight="1">
      <c r="A17" s="452" t="s">
        <v>230</v>
      </c>
      <c r="B17" s="340" t="s">
        <v>365</v>
      </c>
      <c r="C17" s="340" t="s">
        <v>366</v>
      </c>
      <c r="D17" s="460">
        <v>36</v>
      </c>
      <c r="E17" s="441"/>
      <c r="F17" s="441">
        <v>53.1</v>
      </c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358">
        <f t="shared" si="0"/>
        <v>53.1</v>
      </c>
      <c r="R17" s="320" t="str">
        <f t="shared" si="1"/>
        <v>NO</v>
      </c>
      <c r="S17" s="670" t="str">
        <f t="shared" si="2"/>
        <v>Alto</v>
      </c>
    </row>
    <row r="18" spans="1:19" s="97" customFormat="1" ht="32.1" customHeight="1">
      <c r="A18" s="597" t="s">
        <v>180</v>
      </c>
      <c r="B18" s="662" t="s">
        <v>1525</v>
      </c>
      <c r="C18" s="662" t="s">
        <v>1526</v>
      </c>
      <c r="D18" s="304">
        <v>25</v>
      </c>
      <c r="E18" s="47">
        <v>97.3</v>
      </c>
      <c r="F18" s="47"/>
      <c r="G18" s="47"/>
      <c r="H18" s="47"/>
      <c r="I18" s="47"/>
      <c r="J18" s="47">
        <v>97.3</v>
      </c>
      <c r="K18" s="47"/>
      <c r="L18" s="47"/>
      <c r="M18" s="47"/>
      <c r="N18" s="47"/>
      <c r="O18" s="47">
        <v>97.3</v>
      </c>
      <c r="P18" s="47"/>
      <c r="Q18" s="358">
        <f t="shared" si="0"/>
        <v>97.3</v>
      </c>
      <c r="R18" s="315" t="str">
        <f t="shared" si="1"/>
        <v>NO</v>
      </c>
      <c r="S18" s="670" t="str">
        <f t="shared" si="2"/>
        <v>Inviable Sanitariamente</v>
      </c>
    </row>
    <row r="19" spans="1:19" s="97" customFormat="1" ht="32.1" customHeight="1">
      <c r="A19" s="597" t="s">
        <v>180</v>
      </c>
      <c r="B19" s="662" t="s">
        <v>1527</v>
      </c>
      <c r="C19" s="662" t="s">
        <v>1528</v>
      </c>
      <c r="D19" s="460">
        <v>82</v>
      </c>
      <c r="E19" s="441"/>
      <c r="F19" s="441"/>
      <c r="G19" s="441"/>
      <c r="H19" s="441"/>
      <c r="I19" s="441"/>
      <c r="J19" s="441">
        <v>96.4</v>
      </c>
      <c r="K19" s="441"/>
      <c r="L19" s="441"/>
      <c r="M19" s="441"/>
      <c r="N19" s="441"/>
      <c r="O19" s="441">
        <v>97.6</v>
      </c>
      <c r="P19" s="441"/>
      <c r="Q19" s="358">
        <f t="shared" si="0"/>
        <v>97</v>
      </c>
      <c r="R19" s="315" t="str">
        <f t="shared" si="1"/>
        <v>NO</v>
      </c>
      <c r="S19" s="670" t="str">
        <f t="shared" si="2"/>
        <v>Inviable Sanitariamente</v>
      </c>
    </row>
    <row r="20" spans="1:19" s="97" customFormat="1" ht="32.1" customHeight="1">
      <c r="A20" s="597" t="s">
        <v>180</v>
      </c>
      <c r="B20" s="662" t="s">
        <v>610</v>
      </c>
      <c r="C20" s="662" t="s">
        <v>1529</v>
      </c>
      <c r="D20" s="460">
        <v>8</v>
      </c>
      <c r="E20" s="441"/>
      <c r="F20" s="441"/>
      <c r="G20" s="441"/>
      <c r="H20" s="441"/>
      <c r="I20" s="441"/>
      <c r="J20" s="441">
        <v>96.4</v>
      </c>
      <c r="K20" s="441"/>
      <c r="L20" s="441"/>
      <c r="M20" s="441"/>
      <c r="N20" s="441"/>
      <c r="O20" s="441"/>
      <c r="P20" s="441"/>
      <c r="Q20" s="358">
        <f t="shared" si="0"/>
        <v>96.4</v>
      </c>
      <c r="R20" s="320" t="str">
        <f t="shared" si="1"/>
        <v>NO</v>
      </c>
      <c r="S20" s="670" t="str">
        <f t="shared" si="2"/>
        <v>Inviable Sanitariamente</v>
      </c>
    </row>
    <row r="21" spans="1:19" s="97" customFormat="1" ht="31.5" customHeight="1">
      <c r="A21" s="597" t="s">
        <v>180</v>
      </c>
      <c r="B21" s="662" t="s">
        <v>1530</v>
      </c>
      <c r="C21" s="662" t="s">
        <v>1531</v>
      </c>
      <c r="D21" s="460">
        <v>45</v>
      </c>
      <c r="E21" s="441"/>
      <c r="F21" s="441"/>
      <c r="G21" s="441"/>
      <c r="H21" s="441"/>
      <c r="I21" s="441"/>
      <c r="J21" s="441">
        <v>96.4</v>
      </c>
      <c r="K21" s="441"/>
      <c r="L21" s="441"/>
      <c r="M21" s="441"/>
      <c r="N21" s="441"/>
      <c r="O21" s="441">
        <v>97.6</v>
      </c>
      <c r="P21" s="441"/>
      <c r="Q21" s="358">
        <f t="shared" si="0"/>
        <v>97</v>
      </c>
      <c r="R21" s="320" t="str">
        <f t="shared" si="1"/>
        <v>NO</v>
      </c>
      <c r="S21" s="670" t="str">
        <f t="shared" si="2"/>
        <v>Inviable Sanitariamente</v>
      </c>
    </row>
    <row r="22" spans="1:19" s="97" customFormat="1" ht="32.1" customHeight="1">
      <c r="A22" s="597" t="s">
        <v>180</v>
      </c>
      <c r="B22" s="662" t="s">
        <v>1532</v>
      </c>
      <c r="C22" s="662" t="s">
        <v>362</v>
      </c>
      <c r="D22" s="304">
        <v>8</v>
      </c>
      <c r="E22" s="47"/>
      <c r="F22" s="47"/>
      <c r="G22" s="47"/>
      <c r="H22" s="47"/>
      <c r="I22" s="47"/>
      <c r="J22" s="47">
        <v>97.3</v>
      </c>
      <c r="K22" s="47"/>
      <c r="L22" s="47"/>
      <c r="M22" s="47"/>
      <c r="N22" s="47"/>
      <c r="O22" s="47"/>
      <c r="P22" s="47"/>
      <c r="Q22" s="358">
        <f t="shared" si="0"/>
        <v>97.3</v>
      </c>
      <c r="R22" s="320" t="str">
        <f t="shared" si="1"/>
        <v>NO</v>
      </c>
      <c r="S22" s="670" t="str">
        <f t="shared" si="2"/>
        <v>Inviable Sanitariamente</v>
      </c>
    </row>
    <row r="23" spans="1:19" s="97" customFormat="1" ht="32.1" customHeight="1">
      <c r="A23" s="597" t="s">
        <v>180</v>
      </c>
      <c r="B23" s="662" t="s">
        <v>1533</v>
      </c>
      <c r="C23" s="662" t="s">
        <v>1534</v>
      </c>
      <c r="D23" s="460">
        <v>26</v>
      </c>
      <c r="E23" s="441"/>
      <c r="F23" s="441"/>
      <c r="G23" s="441"/>
      <c r="H23" s="441"/>
      <c r="I23" s="441"/>
      <c r="J23" s="441">
        <v>96.4</v>
      </c>
      <c r="K23" s="441"/>
      <c r="L23" s="441"/>
      <c r="M23" s="441"/>
      <c r="N23" s="441"/>
      <c r="O23" s="441">
        <v>97.3</v>
      </c>
      <c r="P23" s="441"/>
      <c r="Q23" s="358">
        <f t="shared" si="0"/>
        <v>96.85</v>
      </c>
      <c r="R23" s="320" t="str">
        <f t="shared" si="1"/>
        <v>NO</v>
      </c>
      <c r="S23" s="670" t="str">
        <f t="shared" si="2"/>
        <v>Inviable Sanitariamente</v>
      </c>
    </row>
    <row r="24" spans="1:19" s="97" customFormat="1" ht="32.1" customHeight="1">
      <c r="A24" s="597" t="s">
        <v>180</v>
      </c>
      <c r="B24" s="662" t="s">
        <v>1535</v>
      </c>
      <c r="C24" s="662" t="s">
        <v>1536</v>
      </c>
      <c r="D24" s="460">
        <v>25</v>
      </c>
      <c r="E24" s="441"/>
      <c r="F24" s="441"/>
      <c r="G24" s="441"/>
      <c r="H24" s="441"/>
      <c r="I24" s="441"/>
      <c r="J24" s="441">
        <v>96.4</v>
      </c>
      <c r="K24" s="441"/>
      <c r="L24" s="441"/>
      <c r="M24" s="441"/>
      <c r="N24" s="441"/>
      <c r="O24" s="441">
        <v>97.3</v>
      </c>
      <c r="P24" s="441"/>
      <c r="Q24" s="358">
        <f t="shared" si="0"/>
        <v>96.85</v>
      </c>
      <c r="R24" s="320" t="str">
        <f t="shared" si="1"/>
        <v>NO</v>
      </c>
      <c r="S24" s="670" t="str">
        <f t="shared" si="2"/>
        <v>Inviable Sanitariamente</v>
      </c>
    </row>
    <row r="25" spans="1:19" s="97" customFormat="1" ht="32.1" customHeight="1">
      <c r="A25" s="597" t="s">
        <v>180</v>
      </c>
      <c r="B25" s="662" t="s">
        <v>1537</v>
      </c>
      <c r="C25" s="662" t="s">
        <v>1538</v>
      </c>
      <c r="D25" s="462">
        <v>60</v>
      </c>
      <c r="E25" s="441"/>
      <c r="F25" s="441"/>
      <c r="G25" s="441"/>
      <c r="H25" s="441">
        <v>96.4</v>
      </c>
      <c r="I25" s="441"/>
      <c r="J25" s="441"/>
      <c r="K25" s="441"/>
      <c r="L25" s="441"/>
      <c r="M25" s="441"/>
      <c r="N25" s="441"/>
      <c r="O25" s="441">
        <v>97.3</v>
      </c>
      <c r="P25" s="441"/>
      <c r="Q25" s="358">
        <f t="shared" si="0"/>
        <v>96.85</v>
      </c>
      <c r="R25" s="320" t="str">
        <f t="shared" si="1"/>
        <v>NO</v>
      </c>
      <c r="S25" s="670" t="str">
        <f t="shared" si="2"/>
        <v>Inviable Sanitariamente</v>
      </c>
    </row>
    <row r="26" spans="1:19" s="97" customFormat="1" ht="32.1" customHeight="1">
      <c r="A26" s="597" t="s">
        <v>180</v>
      </c>
      <c r="B26" s="662" t="s">
        <v>555</v>
      </c>
      <c r="C26" s="662" t="s">
        <v>1540</v>
      </c>
      <c r="D26" s="460">
        <v>180</v>
      </c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>
        <v>97.6</v>
      </c>
      <c r="P26" s="441"/>
      <c r="Q26" s="358">
        <f t="shared" si="0"/>
        <v>97.6</v>
      </c>
      <c r="R26" s="320" t="str">
        <f t="shared" si="1"/>
        <v>NO</v>
      </c>
      <c r="S26" s="670" t="str">
        <f t="shared" si="2"/>
        <v>Inviable Sanitariamente</v>
      </c>
    </row>
    <row r="27" spans="1:19" s="97" customFormat="1" ht="32.1" customHeight="1">
      <c r="A27" s="597" t="s">
        <v>180</v>
      </c>
      <c r="B27" s="662" t="s">
        <v>1541</v>
      </c>
      <c r="C27" s="662" t="s">
        <v>1542</v>
      </c>
      <c r="D27" s="30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58"/>
      <c r="R27" s="315"/>
      <c r="S27" s="670"/>
    </row>
    <row r="28" spans="1:19" s="97" customFormat="1" ht="32.1" customHeight="1">
      <c r="A28" s="452" t="s">
        <v>180</v>
      </c>
      <c r="B28" s="362" t="s">
        <v>45</v>
      </c>
      <c r="C28" s="362" t="s">
        <v>1543</v>
      </c>
      <c r="D28" s="460">
        <v>45</v>
      </c>
      <c r="E28" s="441"/>
      <c r="F28" s="441"/>
      <c r="G28" s="441"/>
      <c r="H28" s="441"/>
      <c r="I28" s="441"/>
      <c r="J28" s="441">
        <v>96.4</v>
      </c>
      <c r="K28" s="441"/>
      <c r="L28" s="441"/>
      <c r="M28" s="441"/>
      <c r="N28" s="441"/>
      <c r="O28" s="441">
        <v>97.6</v>
      </c>
      <c r="P28" s="441"/>
      <c r="Q28" s="358">
        <f t="shared" si="0"/>
        <v>97</v>
      </c>
      <c r="R28" s="320" t="str">
        <f t="shared" si="1"/>
        <v>NO</v>
      </c>
      <c r="S28" s="670" t="str">
        <f t="shared" si="2"/>
        <v>Inviable Sanitariamente</v>
      </c>
    </row>
    <row r="29" spans="1:19" s="97" customFormat="1" ht="32.1" customHeight="1">
      <c r="A29" s="452" t="s">
        <v>180</v>
      </c>
      <c r="B29" s="362" t="s">
        <v>1544</v>
      </c>
      <c r="C29" s="362" t="s">
        <v>1545</v>
      </c>
      <c r="D29" s="462">
        <v>48</v>
      </c>
      <c r="E29" s="441"/>
      <c r="F29" s="441"/>
      <c r="G29" s="441"/>
      <c r="H29" s="441"/>
      <c r="I29" s="441">
        <v>100</v>
      </c>
      <c r="J29" s="441"/>
      <c r="K29" s="441"/>
      <c r="L29" s="441"/>
      <c r="M29" s="441"/>
      <c r="N29" s="441"/>
      <c r="O29" s="441"/>
      <c r="P29" s="441"/>
      <c r="Q29" s="358">
        <f t="shared" si="0"/>
        <v>100</v>
      </c>
      <c r="R29" s="320" t="str">
        <f t="shared" si="1"/>
        <v>NO</v>
      </c>
      <c r="S29" s="670" t="str">
        <f t="shared" si="2"/>
        <v>Inviable Sanitariamente</v>
      </c>
    </row>
    <row r="30" spans="1:19" s="97" customFormat="1" ht="32.1" customHeight="1">
      <c r="A30" s="452" t="s">
        <v>180</v>
      </c>
      <c r="B30" s="362" t="s">
        <v>1546</v>
      </c>
      <c r="C30" s="362" t="s">
        <v>1547</v>
      </c>
      <c r="D30" s="460">
        <v>33</v>
      </c>
      <c r="E30" s="441"/>
      <c r="F30" s="441"/>
      <c r="G30" s="441"/>
      <c r="H30" s="441"/>
      <c r="I30" s="441">
        <v>96.4</v>
      </c>
      <c r="J30" s="441"/>
      <c r="K30" s="441"/>
      <c r="L30" s="441"/>
      <c r="M30" s="441"/>
      <c r="N30" s="441"/>
      <c r="O30" s="441"/>
      <c r="P30" s="441"/>
      <c r="Q30" s="358">
        <f t="shared" si="0"/>
        <v>96.4</v>
      </c>
      <c r="R30" s="320" t="str">
        <f t="shared" si="1"/>
        <v>NO</v>
      </c>
      <c r="S30" s="670" t="str">
        <f t="shared" si="2"/>
        <v>Inviable Sanitariamente</v>
      </c>
    </row>
    <row r="31" spans="1:19" s="97" customFormat="1" ht="32.1" customHeight="1">
      <c r="A31" s="452" t="s">
        <v>180</v>
      </c>
      <c r="B31" s="362" t="s">
        <v>632</v>
      </c>
      <c r="C31" s="362" t="s">
        <v>1548</v>
      </c>
      <c r="D31" s="460">
        <v>15</v>
      </c>
      <c r="E31" s="441"/>
      <c r="F31" s="441"/>
      <c r="G31" s="441"/>
      <c r="H31" s="441">
        <v>96.4</v>
      </c>
      <c r="I31" s="441"/>
      <c r="J31" s="441"/>
      <c r="K31" s="441"/>
      <c r="L31" s="441"/>
      <c r="M31" s="441"/>
      <c r="N31" s="441"/>
      <c r="O31" s="441">
        <v>97.6</v>
      </c>
      <c r="P31" s="441"/>
      <c r="Q31" s="358">
        <f t="shared" si="0"/>
        <v>97</v>
      </c>
      <c r="R31" s="320" t="str">
        <f t="shared" si="1"/>
        <v>NO</v>
      </c>
      <c r="S31" s="670" t="str">
        <f t="shared" si="2"/>
        <v>Inviable Sanitariamente</v>
      </c>
    </row>
    <row r="32" spans="1:19" s="97" customFormat="1" ht="32.1" customHeight="1">
      <c r="A32" s="452" t="s">
        <v>180</v>
      </c>
      <c r="B32" s="362" t="s">
        <v>1549</v>
      </c>
      <c r="C32" s="362" t="s">
        <v>1550</v>
      </c>
      <c r="D32" s="460">
        <v>120</v>
      </c>
      <c r="E32" s="441"/>
      <c r="F32" s="441"/>
      <c r="G32" s="441"/>
      <c r="H32" s="441"/>
      <c r="I32" s="441"/>
      <c r="J32" s="441">
        <v>96.4</v>
      </c>
      <c r="K32" s="441"/>
      <c r="L32" s="441"/>
      <c r="M32" s="441"/>
      <c r="N32" s="441"/>
      <c r="O32" s="441">
        <v>97.6</v>
      </c>
      <c r="P32" s="441"/>
      <c r="Q32" s="358">
        <f t="shared" si="0"/>
        <v>97</v>
      </c>
      <c r="R32" s="320" t="str">
        <f t="shared" si="1"/>
        <v>NO</v>
      </c>
      <c r="S32" s="670" t="str">
        <f t="shared" si="2"/>
        <v>Inviable Sanitariamente</v>
      </c>
    </row>
    <row r="33" spans="1:19" s="97" customFormat="1" ht="32.1" customHeight="1">
      <c r="A33" s="597" t="s">
        <v>180</v>
      </c>
      <c r="B33" s="662" t="s">
        <v>1551</v>
      </c>
      <c r="C33" s="662" t="s">
        <v>1552</v>
      </c>
      <c r="D33" s="460">
        <v>60</v>
      </c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358"/>
      <c r="R33" s="320"/>
      <c r="S33" s="670"/>
    </row>
    <row r="34" spans="1:19" s="97" customFormat="1" ht="32.1" customHeight="1">
      <c r="A34" s="597" t="s">
        <v>180</v>
      </c>
      <c r="B34" s="662" t="s">
        <v>1551</v>
      </c>
      <c r="C34" s="662" t="s">
        <v>1553</v>
      </c>
      <c r="D34" s="460">
        <v>60</v>
      </c>
      <c r="E34" s="441"/>
      <c r="F34" s="441"/>
      <c r="G34" s="441"/>
      <c r="H34" s="441"/>
      <c r="I34" s="441"/>
      <c r="J34" s="441">
        <v>97.3</v>
      </c>
      <c r="K34" s="441"/>
      <c r="L34" s="441"/>
      <c r="M34" s="441"/>
      <c r="N34" s="441"/>
      <c r="O34" s="441"/>
      <c r="P34" s="441"/>
      <c r="Q34" s="358">
        <f t="shared" si="0"/>
        <v>97.3</v>
      </c>
      <c r="R34" s="320" t="str">
        <f t="shared" si="1"/>
        <v>NO</v>
      </c>
      <c r="S34" s="670" t="str">
        <f t="shared" si="2"/>
        <v>Inviable Sanitariamente</v>
      </c>
    </row>
    <row r="35" spans="1:19" s="97" customFormat="1" ht="32.1" customHeight="1">
      <c r="A35" s="597" t="s">
        <v>180</v>
      </c>
      <c r="B35" s="662" t="s">
        <v>1554</v>
      </c>
      <c r="C35" s="662" t="s">
        <v>1555</v>
      </c>
      <c r="D35" s="460">
        <v>42</v>
      </c>
      <c r="E35" s="441"/>
      <c r="F35" s="441"/>
      <c r="G35" s="441"/>
      <c r="H35" s="441"/>
      <c r="I35" s="441">
        <v>96.38</v>
      </c>
      <c r="J35" s="441"/>
      <c r="K35" s="441"/>
      <c r="L35" s="441"/>
      <c r="M35" s="441"/>
      <c r="N35" s="441"/>
      <c r="O35" s="441"/>
      <c r="P35" s="441"/>
      <c r="Q35" s="358">
        <f t="shared" si="0"/>
        <v>96.38</v>
      </c>
      <c r="R35" s="320" t="str">
        <f t="shared" si="1"/>
        <v>NO</v>
      </c>
      <c r="S35" s="670" t="str">
        <f t="shared" si="2"/>
        <v>Inviable Sanitariamente</v>
      </c>
    </row>
    <row r="36" spans="1:19" s="97" customFormat="1" ht="32.1" customHeight="1">
      <c r="A36" s="597" t="s">
        <v>180</v>
      </c>
      <c r="B36" s="662" t="s">
        <v>1556</v>
      </c>
      <c r="C36" s="662" t="s">
        <v>1557</v>
      </c>
      <c r="D36" s="460">
        <v>75</v>
      </c>
      <c r="E36" s="441"/>
      <c r="F36" s="441"/>
      <c r="G36" s="441"/>
      <c r="H36" s="441"/>
      <c r="I36" s="441">
        <v>100</v>
      </c>
      <c r="J36" s="441"/>
      <c r="K36" s="441"/>
      <c r="L36" s="441"/>
      <c r="M36" s="441"/>
      <c r="N36" s="441"/>
      <c r="O36" s="441"/>
      <c r="P36" s="441"/>
      <c r="Q36" s="358">
        <f t="shared" si="0"/>
        <v>100</v>
      </c>
      <c r="R36" s="320" t="str">
        <f t="shared" si="1"/>
        <v>NO</v>
      </c>
      <c r="S36" s="670" t="str">
        <f t="shared" si="2"/>
        <v>Inviable Sanitariamente</v>
      </c>
    </row>
    <row r="37" spans="1:19" s="97" customFormat="1" ht="32.1" customHeight="1">
      <c r="A37" s="564" t="s">
        <v>182</v>
      </c>
      <c r="B37" s="662" t="s">
        <v>1771</v>
      </c>
      <c r="C37" s="662" t="s">
        <v>1772</v>
      </c>
      <c r="D37" s="396">
        <v>770</v>
      </c>
      <c r="E37" s="401"/>
      <c r="F37" s="401">
        <v>55.75</v>
      </c>
      <c r="G37" s="401"/>
      <c r="H37" s="401">
        <v>96.39</v>
      </c>
      <c r="I37" s="401"/>
      <c r="J37" s="401">
        <v>39.76</v>
      </c>
      <c r="K37" s="401"/>
      <c r="L37" s="401"/>
      <c r="M37" s="401">
        <v>84.21</v>
      </c>
      <c r="N37" s="401"/>
      <c r="O37" s="401">
        <v>84.21</v>
      </c>
      <c r="P37" s="436"/>
      <c r="Q37" s="358">
        <f t="shared" si="0"/>
        <v>72.063999999999993</v>
      </c>
      <c r="R37" s="320" t="str">
        <f t="shared" si="1"/>
        <v>NO</v>
      </c>
      <c r="S37" s="670" t="str">
        <f t="shared" si="2"/>
        <v>Alto</v>
      </c>
    </row>
    <row r="38" spans="1:19" s="97" customFormat="1" ht="32.1" customHeight="1">
      <c r="A38" s="564" t="s">
        <v>182</v>
      </c>
      <c r="B38" s="662" t="s">
        <v>1773</v>
      </c>
      <c r="C38" s="662" t="s">
        <v>1774</v>
      </c>
      <c r="D38" s="346">
        <v>1532</v>
      </c>
      <c r="E38" s="47"/>
      <c r="F38" s="47">
        <v>55.75</v>
      </c>
      <c r="G38" s="47"/>
      <c r="H38" s="47">
        <v>36.4</v>
      </c>
      <c r="I38" s="47"/>
      <c r="J38" s="47"/>
      <c r="K38" s="47"/>
      <c r="L38" s="47"/>
      <c r="M38" s="47">
        <v>31.58</v>
      </c>
      <c r="N38" s="47"/>
      <c r="O38" s="401">
        <v>31.58</v>
      </c>
      <c r="P38" s="436"/>
      <c r="Q38" s="358">
        <f>AVERAGE(E38:P38)</f>
        <v>38.827500000000001</v>
      </c>
      <c r="R38" s="320" t="str">
        <f>IF(Q38&lt;5,"SI","NO")</f>
        <v>NO</v>
      </c>
      <c r="S38" s="670" t="str">
        <f>IF(Q38&lt;=5,"Sin Riesgo",IF(Q38 &lt;=14,"Bajo",IF(Q38&lt;=35,"Medio",IF(Q38&lt;=80,"Alto","Inviable Sanitariamente"))))</f>
        <v>Alto</v>
      </c>
    </row>
    <row r="39" spans="1:19" s="97" customFormat="1" ht="32.1" customHeight="1">
      <c r="A39" s="564" t="s">
        <v>182</v>
      </c>
      <c r="B39" s="662" t="s">
        <v>4311</v>
      </c>
      <c r="C39" s="662" t="s">
        <v>4457</v>
      </c>
      <c r="D39" s="396">
        <v>100</v>
      </c>
      <c r="E39" s="401"/>
      <c r="F39" s="401"/>
      <c r="G39" s="401"/>
      <c r="H39" s="401">
        <v>36.4</v>
      </c>
      <c r="I39" s="401"/>
      <c r="J39" s="401">
        <v>0</v>
      </c>
      <c r="K39" s="401"/>
      <c r="L39" s="401"/>
      <c r="M39" s="401">
        <v>0</v>
      </c>
      <c r="N39" s="401"/>
      <c r="O39" s="401">
        <v>0</v>
      </c>
      <c r="P39" s="401"/>
      <c r="Q39" s="358">
        <f t="shared" si="0"/>
        <v>9.1</v>
      </c>
      <c r="R39" s="320" t="str">
        <f t="shared" si="1"/>
        <v>NO</v>
      </c>
      <c r="S39" s="670" t="str">
        <f t="shared" si="2"/>
        <v>Bajo</v>
      </c>
    </row>
    <row r="40" spans="1:19" s="97" customFormat="1" ht="32.1" customHeight="1">
      <c r="A40" s="564" t="s">
        <v>182</v>
      </c>
      <c r="B40" s="662" t="s">
        <v>4310</v>
      </c>
      <c r="C40" s="662" t="s">
        <v>4458</v>
      </c>
      <c r="D40" s="304">
        <v>150</v>
      </c>
      <c r="E40" s="47"/>
      <c r="F40" s="47"/>
      <c r="G40" s="47"/>
      <c r="H40" s="47"/>
      <c r="I40" s="47"/>
      <c r="J40" s="47"/>
      <c r="K40" s="47"/>
      <c r="L40" s="47"/>
      <c r="M40" s="47"/>
      <c r="N40" s="47">
        <v>0</v>
      </c>
      <c r="O40" s="47"/>
      <c r="P40" s="47"/>
      <c r="Q40" s="358">
        <f t="shared" si="0"/>
        <v>0</v>
      </c>
      <c r="R40" s="320" t="str">
        <f t="shared" si="1"/>
        <v>SI</v>
      </c>
      <c r="S40" s="670" t="str">
        <f>IF(Q40&lt;5,"Sin Riesgo",IF(Q40 &lt;=14,"Bajo",IF(Q40&lt;=35,"Medio",IF(Q40&lt;=80,"Alto","Inviable Sanitariamente"))))</f>
        <v>Sin Riesgo</v>
      </c>
    </row>
    <row r="41" spans="1:19" s="97" customFormat="1" ht="32.1" customHeight="1">
      <c r="A41" s="564" t="s">
        <v>3770</v>
      </c>
      <c r="B41" s="662" t="s">
        <v>50</v>
      </c>
      <c r="C41" s="662" t="s">
        <v>1775</v>
      </c>
      <c r="D41" s="304">
        <v>98</v>
      </c>
      <c r="E41" s="47"/>
      <c r="F41" s="47"/>
      <c r="G41" s="47"/>
      <c r="H41" s="47"/>
      <c r="I41" s="47"/>
      <c r="J41" s="47"/>
      <c r="K41" s="47"/>
      <c r="L41" s="47">
        <v>97.3</v>
      </c>
      <c r="M41" s="47"/>
      <c r="N41" s="47"/>
      <c r="O41" s="47"/>
      <c r="P41" s="47"/>
      <c r="Q41" s="358">
        <f t="shared" si="0"/>
        <v>97.3</v>
      </c>
      <c r="R41" s="320" t="str">
        <f t="shared" si="1"/>
        <v>NO</v>
      </c>
      <c r="S41" s="670" t="str">
        <f t="shared" si="2"/>
        <v>Inviable Sanitariamente</v>
      </c>
    </row>
    <row r="42" spans="1:19" s="97" customFormat="1" ht="32.1" customHeight="1">
      <c r="A42" s="564" t="s">
        <v>3770</v>
      </c>
      <c r="B42" s="662" t="s">
        <v>1776</v>
      </c>
      <c r="C42" s="662" t="s">
        <v>1777</v>
      </c>
      <c r="D42" s="304">
        <v>250</v>
      </c>
      <c r="E42" s="47"/>
      <c r="F42" s="47"/>
      <c r="G42" s="47"/>
      <c r="H42" s="47"/>
      <c r="I42" s="47"/>
      <c r="J42" s="47"/>
      <c r="K42" s="47"/>
      <c r="L42" s="47">
        <v>97.3</v>
      </c>
      <c r="M42" s="47"/>
      <c r="N42" s="47"/>
      <c r="O42" s="47"/>
      <c r="P42" s="47"/>
      <c r="Q42" s="358">
        <f t="shared" si="0"/>
        <v>97.3</v>
      </c>
      <c r="R42" s="320" t="str">
        <f t="shared" si="1"/>
        <v>NO</v>
      </c>
      <c r="S42" s="670" t="str">
        <f t="shared" si="2"/>
        <v>Inviable Sanitariamente</v>
      </c>
    </row>
    <row r="43" spans="1:19" s="97" customFormat="1" ht="32.1" customHeight="1">
      <c r="A43" s="564" t="s">
        <v>3770</v>
      </c>
      <c r="B43" s="662" t="s">
        <v>1778</v>
      </c>
      <c r="C43" s="601" t="s">
        <v>1779</v>
      </c>
      <c r="D43" s="304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358"/>
      <c r="R43" s="363"/>
      <c r="S43" s="670"/>
    </row>
    <row r="44" spans="1:19" s="97" customFormat="1" ht="32.1" customHeight="1">
      <c r="A44" s="564" t="s">
        <v>183</v>
      </c>
      <c r="B44" s="662" t="s">
        <v>1780</v>
      </c>
      <c r="C44" s="662" t="s">
        <v>1781</v>
      </c>
      <c r="D44" s="304">
        <v>705</v>
      </c>
      <c r="E44" s="47"/>
      <c r="F44" s="47"/>
      <c r="G44" s="47"/>
      <c r="H44" s="47"/>
      <c r="I44" s="47"/>
      <c r="J44" s="47">
        <v>26.55</v>
      </c>
      <c r="K44" s="47"/>
      <c r="L44" s="47"/>
      <c r="M44" s="47"/>
      <c r="N44" s="47"/>
      <c r="O44" s="47"/>
      <c r="P44" s="47"/>
      <c r="Q44" s="358">
        <f t="shared" ref="Q44:Q67" si="3">AVERAGE(E44:P44)</f>
        <v>26.55</v>
      </c>
      <c r="R44" s="320" t="str">
        <f t="shared" ref="R44:R67" si="4">IF(Q44&lt;5,"SI","NO")</f>
        <v>NO</v>
      </c>
      <c r="S44" s="670" t="str">
        <f t="shared" ref="S44:S67" si="5">IF(Q44&lt;=5,"Sin Riesgo",IF(Q44 &lt;=14,"Bajo",IF(Q44&lt;=35,"Medio",IF(Q44&lt;=80,"Alto","Inviable Sanitariamente"))))</f>
        <v>Medio</v>
      </c>
    </row>
    <row r="45" spans="1:19" s="97" customFormat="1" ht="32.1" customHeight="1">
      <c r="A45" s="564" t="s">
        <v>183</v>
      </c>
      <c r="B45" s="662" t="s">
        <v>70</v>
      </c>
      <c r="C45" s="662" t="s">
        <v>1782</v>
      </c>
      <c r="D45" s="418">
        <v>175</v>
      </c>
      <c r="E45" s="407"/>
      <c r="F45" s="407">
        <v>92.7</v>
      </c>
      <c r="G45" s="407"/>
      <c r="H45" s="406"/>
      <c r="I45" s="406"/>
      <c r="J45" s="406"/>
      <c r="K45" s="406"/>
      <c r="L45" s="406"/>
      <c r="M45" s="406"/>
      <c r="N45" s="406"/>
      <c r="O45" s="406"/>
      <c r="P45" s="406"/>
      <c r="Q45" s="358">
        <f t="shared" si="3"/>
        <v>92.7</v>
      </c>
      <c r="R45" s="320" t="str">
        <f t="shared" si="4"/>
        <v>NO</v>
      </c>
      <c r="S45" s="670" t="str">
        <f t="shared" si="5"/>
        <v>Inviable Sanitariamente</v>
      </c>
    </row>
    <row r="46" spans="1:19" s="97" customFormat="1" ht="32.1" customHeight="1">
      <c r="A46" s="564" t="s">
        <v>183</v>
      </c>
      <c r="B46" s="662" t="s">
        <v>1783</v>
      </c>
      <c r="C46" s="662" t="s">
        <v>1784</v>
      </c>
      <c r="D46" s="304">
        <v>21</v>
      </c>
      <c r="E46" s="47"/>
      <c r="F46" s="47"/>
      <c r="G46" s="47"/>
      <c r="H46" s="47"/>
      <c r="I46" s="47">
        <v>97.35</v>
      </c>
      <c r="J46" s="47"/>
      <c r="K46" s="47"/>
      <c r="L46" s="47"/>
      <c r="M46" s="47"/>
      <c r="N46" s="47"/>
      <c r="O46" s="47"/>
      <c r="P46" s="47"/>
      <c r="Q46" s="358">
        <f t="shared" si="3"/>
        <v>97.35</v>
      </c>
      <c r="R46" s="320" t="str">
        <f t="shared" si="4"/>
        <v>NO</v>
      </c>
      <c r="S46" s="670" t="str">
        <f t="shared" si="5"/>
        <v>Inviable Sanitariamente</v>
      </c>
    </row>
    <row r="47" spans="1:19" s="97" customFormat="1" ht="32.1" customHeight="1">
      <c r="A47" s="564" t="s">
        <v>183</v>
      </c>
      <c r="B47" s="662" t="s">
        <v>1785</v>
      </c>
      <c r="C47" s="662" t="s">
        <v>1786</v>
      </c>
      <c r="D47" s="304">
        <v>392</v>
      </c>
      <c r="E47" s="47"/>
      <c r="F47" s="47"/>
      <c r="G47" s="47"/>
      <c r="H47" s="47"/>
      <c r="I47" s="47"/>
      <c r="J47" s="47">
        <v>97.35</v>
      </c>
      <c r="K47" s="47"/>
      <c r="L47" s="47"/>
      <c r="M47" s="47"/>
      <c r="N47" s="47"/>
      <c r="O47" s="47"/>
      <c r="P47" s="47"/>
      <c r="Q47" s="358">
        <f t="shared" si="3"/>
        <v>97.35</v>
      </c>
      <c r="R47" s="320" t="str">
        <f t="shared" si="4"/>
        <v>NO</v>
      </c>
      <c r="S47" s="670" t="str">
        <f t="shared" si="5"/>
        <v>Inviable Sanitariamente</v>
      </c>
    </row>
    <row r="48" spans="1:19" s="97" customFormat="1" ht="32.1" customHeight="1">
      <c r="A48" s="564" t="s">
        <v>183</v>
      </c>
      <c r="B48" s="662" t="s">
        <v>1787</v>
      </c>
      <c r="C48" s="662" t="s">
        <v>1788</v>
      </c>
      <c r="D48" s="304">
        <v>137</v>
      </c>
      <c r="E48" s="47"/>
      <c r="F48" s="47"/>
      <c r="G48" s="47"/>
      <c r="H48" s="47"/>
      <c r="I48" s="47"/>
      <c r="J48" s="47">
        <v>97.35</v>
      </c>
      <c r="K48" s="47"/>
      <c r="L48" s="47"/>
      <c r="M48" s="47"/>
      <c r="N48" s="47"/>
      <c r="O48" s="47"/>
      <c r="P48" s="47"/>
      <c r="Q48" s="358">
        <f t="shared" si="3"/>
        <v>97.35</v>
      </c>
      <c r="R48" s="320" t="str">
        <f t="shared" si="4"/>
        <v>NO</v>
      </c>
      <c r="S48" s="670" t="str">
        <f t="shared" si="5"/>
        <v>Inviable Sanitariamente</v>
      </c>
    </row>
    <row r="49" spans="1:19" s="97" customFormat="1" ht="32.1" customHeight="1">
      <c r="A49" s="564" t="s">
        <v>183</v>
      </c>
      <c r="B49" s="662" t="s">
        <v>1789</v>
      </c>
      <c r="C49" s="662" t="s">
        <v>1790</v>
      </c>
      <c r="D49" s="418">
        <v>328</v>
      </c>
      <c r="E49" s="407"/>
      <c r="F49" s="407">
        <v>97.3</v>
      </c>
      <c r="G49" s="407"/>
      <c r="H49" s="406"/>
      <c r="I49" s="406"/>
      <c r="J49" s="406"/>
      <c r="K49" s="406"/>
      <c r="L49" s="406"/>
      <c r="M49" s="406"/>
      <c r="N49" s="406"/>
      <c r="O49" s="406"/>
      <c r="P49" s="406"/>
      <c r="Q49" s="358">
        <f t="shared" si="3"/>
        <v>97.3</v>
      </c>
      <c r="R49" s="320" t="str">
        <f t="shared" si="4"/>
        <v>NO</v>
      </c>
      <c r="S49" s="670" t="str">
        <f t="shared" si="5"/>
        <v>Inviable Sanitariamente</v>
      </c>
    </row>
    <row r="50" spans="1:19" s="97" customFormat="1" ht="32.1" customHeight="1">
      <c r="A50" s="564" t="s">
        <v>183</v>
      </c>
      <c r="B50" s="662" t="s">
        <v>1791</v>
      </c>
      <c r="C50" s="662" t="s">
        <v>1792</v>
      </c>
      <c r="D50" s="304">
        <v>110</v>
      </c>
      <c r="E50" s="47"/>
      <c r="F50" s="47"/>
      <c r="G50" s="47"/>
      <c r="H50" s="47"/>
      <c r="I50" s="47">
        <v>97.35</v>
      </c>
      <c r="J50" s="47"/>
      <c r="K50" s="47"/>
      <c r="L50" s="47"/>
      <c r="M50" s="47"/>
      <c r="N50" s="47"/>
      <c r="O50" s="47"/>
      <c r="P50" s="47"/>
      <c r="Q50" s="358">
        <f t="shared" si="3"/>
        <v>97.35</v>
      </c>
      <c r="R50" s="320" t="str">
        <f t="shared" si="4"/>
        <v>NO</v>
      </c>
      <c r="S50" s="670" t="str">
        <f t="shared" si="5"/>
        <v>Inviable Sanitariamente</v>
      </c>
    </row>
    <row r="51" spans="1:19" s="97" customFormat="1" ht="32.1" customHeight="1">
      <c r="A51" s="564" t="s">
        <v>183</v>
      </c>
      <c r="B51" s="662" t="s">
        <v>1793</v>
      </c>
      <c r="C51" s="662" t="s">
        <v>1794</v>
      </c>
      <c r="D51" s="304">
        <v>55</v>
      </c>
      <c r="E51" s="47"/>
      <c r="F51" s="47"/>
      <c r="G51" s="47">
        <v>97.3</v>
      </c>
      <c r="H51" s="47"/>
      <c r="I51" s="47"/>
      <c r="J51" s="47"/>
      <c r="K51" s="47"/>
      <c r="L51" s="47"/>
      <c r="M51" s="47">
        <v>97.3</v>
      </c>
      <c r="N51" s="47"/>
      <c r="O51" s="47"/>
      <c r="P51" s="47"/>
      <c r="Q51" s="358">
        <f t="shared" si="3"/>
        <v>97.3</v>
      </c>
      <c r="R51" s="320" t="str">
        <f t="shared" si="4"/>
        <v>NO</v>
      </c>
      <c r="S51" s="670" t="str">
        <f t="shared" si="5"/>
        <v>Inviable Sanitariamente</v>
      </c>
    </row>
    <row r="52" spans="1:19" s="97" customFormat="1" ht="32.1" customHeight="1">
      <c r="A52" s="564" t="s">
        <v>183</v>
      </c>
      <c r="B52" s="662" t="s">
        <v>367</v>
      </c>
      <c r="C52" s="662" t="s">
        <v>368</v>
      </c>
      <c r="D52" s="304">
        <v>169</v>
      </c>
      <c r="E52" s="47"/>
      <c r="F52" s="47"/>
      <c r="G52" s="47"/>
      <c r="H52" s="47"/>
      <c r="I52" s="47"/>
      <c r="J52" s="47">
        <v>97.35</v>
      </c>
      <c r="K52" s="47"/>
      <c r="L52" s="47"/>
      <c r="M52" s="47"/>
      <c r="N52" s="47"/>
      <c r="O52" s="47"/>
      <c r="P52" s="47"/>
      <c r="Q52" s="358">
        <f t="shared" si="3"/>
        <v>97.35</v>
      </c>
      <c r="R52" s="320" t="str">
        <f t="shared" si="4"/>
        <v>NO</v>
      </c>
      <c r="S52" s="670" t="str">
        <f t="shared" si="5"/>
        <v>Inviable Sanitariamente</v>
      </c>
    </row>
    <row r="53" spans="1:19" s="97" customFormat="1" ht="32.1" customHeight="1">
      <c r="A53" s="597" t="s">
        <v>184</v>
      </c>
      <c r="B53" s="597" t="s">
        <v>1795</v>
      </c>
      <c r="C53" s="597" t="s">
        <v>1796</v>
      </c>
      <c r="D53" s="304">
        <v>25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358"/>
      <c r="R53" s="331"/>
      <c r="S53" s="670"/>
    </row>
    <row r="54" spans="1:19" s="97" customFormat="1" ht="32.1" customHeight="1">
      <c r="A54" s="597" t="s">
        <v>184</v>
      </c>
      <c r="B54" s="597" t="s">
        <v>1797</v>
      </c>
      <c r="C54" s="597" t="s">
        <v>1798</v>
      </c>
      <c r="D54" s="304">
        <v>15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358"/>
      <c r="R54" s="331"/>
      <c r="S54" s="670"/>
    </row>
    <row r="55" spans="1:19" s="97" customFormat="1" ht="32.1" customHeight="1">
      <c r="A55" s="597" t="s">
        <v>184</v>
      </c>
      <c r="B55" s="597" t="s">
        <v>1799</v>
      </c>
      <c r="C55" s="597" t="s">
        <v>1800</v>
      </c>
      <c r="D55" s="304">
        <v>16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358"/>
      <c r="R55" s="331"/>
      <c r="S55" s="670"/>
    </row>
    <row r="56" spans="1:19" s="97" customFormat="1" ht="32.1" customHeight="1">
      <c r="A56" s="597" t="s">
        <v>184</v>
      </c>
      <c r="B56" s="597" t="s">
        <v>370</v>
      </c>
      <c r="C56" s="597" t="s">
        <v>1801</v>
      </c>
      <c r="D56" s="304">
        <v>15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358"/>
      <c r="R56" s="331"/>
      <c r="S56" s="670"/>
    </row>
    <row r="57" spans="1:19" s="97" customFormat="1" ht="32.1" customHeight="1">
      <c r="A57" s="597" t="s">
        <v>184</v>
      </c>
      <c r="B57" s="597" t="s">
        <v>1802</v>
      </c>
      <c r="C57" s="597" t="s">
        <v>1803</v>
      </c>
      <c r="D57" s="304">
        <v>120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358"/>
      <c r="R57" s="331"/>
      <c r="S57" s="670"/>
    </row>
    <row r="58" spans="1:19" s="97" customFormat="1" ht="32.1" customHeight="1">
      <c r="A58" s="597" t="s">
        <v>184</v>
      </c>
      <c r="B58" s="597" t="s">
        <v>1804</v>
      </c>
      <c r="C58" s="597" t="s">
        <v>1805</v>
      </c>
      <c r="D58" s="304">
        <v>280</v>
      </c>
      <c r="E58" s="47"/>
      <c r="F58" s="47"/>
      <c r="G58" s="47"/>
      <c r="H58" s="47"/>
      <c r="I58" s="47"/>
      <c r="J58" s="47"/>
      <c r="K58" s="47"/>
      <c r="L58" s="47"/>
      <c r="M58" s="47">
        <v>80</v>
      </c>
      <c r="N58" s="47"/>
      <c r="O58" s="47"/>
      <c r="P58" s="47"/>
      <c r="Q58" s="358">
        <f t="shared" si="3"/>
        <v>80</v>
      </c>
      <c r="R58" s="355" t="str">
        <f t="shared" si="4"/>
        <v>NO</v>
      </c>
      <c r="S58" s="670" t="str">
        <f t="shared" si="5"/>
        <v>Alto</v>
      </c>
    </row>
    <row r="59" spans="1:19" s="97" customFormat="1" ht="32.1" customHeight="1">
      <c r="A59" s="597" t="s">
        <v>184</v>
      </c>
      <c r="B59" s="597" t="s">
        <v>1806</v>
      </c>
      <c r="C59" s="597" t="s">
        <v>1807</v>
      </c>
      <c r="D59" s="304">
        <v>115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358"/>
      <c r="R59" s="331"/>
      <c r="S59" s="670"/>
    </row>
    <row r="60" spans="1:19" s="97" customFormat="1" ht="32.1" customHeight="1">
      <c r="A60" s="597" t="s">
        <v>184</v>
      </c>
      <c r="B60" s="597" t="s">
        <v>1808</v>
      </c>
      <c r="C60" s="597" t="s">
        <v>1809</v>
      </c>
      <c r="D60" s="304">
        <v>46</v>
      </c>
      <c r="E60" s="47"/>
      <c r="F60" s="47"/>
      <c r="G60" s="47"/>
      <c r="H60" s="47"/>
      <c r="I60" s="47"/>
      <c r="J60" s="47"/>
      <c r="K60" s="47"/>
      <c r="L60" s="47"/>
      <c r="M60" s="47">
        <v>94.6</v>
      </c>
      <c r="N60" s="47"/>
      <c r="O60" s="47"/>
      <c r="P60" s="47"/>
      <c r="Q60" s="358">
        <f t="shared" si="3"/>
        <v>94.6</v>
      </c>
      <c r="R60" s="355" t="str">
        <f t="shared" si="4"/>
        <v>NO</v>
      </c>
      <c r="S60" s="670" t="str">
        <f t="shared" si="5"/>
        <v>Inviable Sanitariamente</v>
      </c>
    </row>
    <row r="61" spans="1:19" s="97" customFormat="1" ht="32.1" customHeight="1">
      <c r="A61" s="597" t="s">
        <v>184</v>
      </c>
      <c r="B61" s="597" t="s">
        <v>1810</v>
      </c>
      <c r="C61" s="597" t="s">
        <v>1811</v>
      </c>
      <c r="D61" s="304">
        <v>70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358"/>
      <c r="R61" s="331"/>
      <c r="S61" s="670"/>
    </row>
    <row r="62" spans="1:19" s="97" customFormat="1" ht="32.1" customHeight="1">
      <c r="A62" s="597" t="s">
        <v>184</v>
      </c>
      <c r="B62" s="597" t="s">
        <v>1812</v>
      </c>
      <c r="C62" s="597" t="s">
        <v>1813</v>
      </c>
      <c r="D62" s="304">
        <v>159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358"/>
      <c r="R62" s="331"/>
      <c r="S62" s="670"/>
    </row>
    <row r="63" spans="1:19" s="97" customFormat="1" ht="32.1" customHeight="1">
      <c r="A63" s="597" t="s">
        <v>184</v>
      </c>
      <c r="B63" s="597" t="s">
        <v>1383</v>
      </c>
      <c r="C63" s="597" t="s">
        <v>1814</v>
      </c>
      <c r="D63" s="304">
        <v>127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358"/>
      <c r="R63" s="331"/>
      <c r="S63" s="670"/>
    </row>
    <row r="64" spans="1:19" s="97" customFormat="1" ht="32.1" customHeight="1">
      <c r="A64" s="597" t="s">
        <v>184</v>
      </c>
      <c r="B64" s="597" t="s">
        <v>1815</v>
      </c>
      <c r="C64" s="597" t="s">
        <v>1816</v>
      </c>
      <c r="D64" s="304">
        <v>35</v>
      </c>
      <c r="E64" s="47"/>
      <c r="F64" s="47"/>
      <c r="G64" s="47"/>
      <c r="H64" s="47"/>
      <c r="I64" s="47"/>
      <c r="J64" s="47"/>
      <c r="K64" s="47"/>
      <c r="L64" s="47"/>
      <c r="M64" s="47">
        <v>91.2</v>
      </c>
      <c r="N64" s="47"/>
      <c r="O64" s="47"/>
      <c r="P64" s="47"/>
      <c r="Q64" s="358">
        <f t="shared" si="3"/>
        <v>91.2</v>
      </c>
      <c r="R64" s="355" t="str">
        <f t="shared" si="4"/>
        <v>NO</v>
      </c>
      <c r="S64" s="670" t="str">
        <f t="shared" si="5"/>
        <v>Inviable Sanitariamente</v>
      </c>
    </row>
    <row r="65" spans="1:19" s="97" customFormat="1" ht="32.1" customHeight="1">
      <c r="A65" s="597" t="s">
        <v>184</v>
      </c>
      <c r="B65" s="597" t="s">
        <v>626</v>
      </c>
      <c r="C65" s="597" t="s">
        <v>1817</v>
      </c>
      <c r="D65" s="304">
        <v>77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358"/>
      <c r="R65" s="331"/>
      <c r="S65" s="670"/>
    </row>
    <row r="66" spans="1:19" s="97" customFormat="1" ht="32.1" customHeight="1">
      <c r="A66" s="597" t="s">
        <v>184</v>
      </c>
      <c r="B66" s="597" t="s">
        <v>17</v>
      </c>
      <c r="C66" s="597" t="s">
        <v>1818</v>
      </c>
      <c r="D66" s="304">
        <v>23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358"/>
      <c r="R66" s="331"/>
      <c r="S66" s="670"/>
    </row>
    <row r="67" spans="1:19" s="97" customFormat="1" ht="32.1" customHeight="1">
      <c r="A67" s="597" t="s">
        <v>184</v>
      </c>
      <c r="B67" s="662" t="s">
        <v>70</v>
      </c>
      <c r="C67" s="662" t="s">
        <v>369</v>
      </c>
      <c r="D67" s="304">
        <v>600</v>
      </c>
      <c r="E67" s="47"/>
      <c r="F67" s="47"/>
      <c r="G67" s="47"/>
      <c r="H67" s="47"/>
      <c r="I67" s="47"/>
      <c r="J67" s="47"/>
      <c r="K67" s="47"/>
      <c r="L67" s="47"/>
      <c r="M67" s="47">
        <v>90.4</v>
      </c>
      <c r="N67" s="47"/>
      <c r="O67" s="47"/>
      <c r="P67" s="47"/>
      <c r="Q67" s="358">
        <f t="shared" si="3"/>
        <v>90.4</v>
      </c>
      <c r="R67" s="355" t="str">
        <f t="shared" si="4"/>
        <v>NO</v>
      </c>
      <c r="S67" s="671" t="str">
        <f t="shared" si="5"/>
        <v>Inviable Sanitariamente</v>
      </c>
    </row>
    <row r="68" spans="1:19" ht="32.1" customHeight="1">
      <c r="A68" s="80"/>
      <c r="B68" s="90"/>
      <c r="C68" s="15"/>
      <c r="D68" s="233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132"/>
      <c r="R68" s="133"/>
      <c r="S68" s="134"/>
    </row>
    <row r="69" spans="1:19" ht="32.1" customHeight="1">
      <c r="A69" s="266" t="s">
        <v>3910</v>
      </c>
      <c r="B69" s="266" t="s">
        <v>3967</v>
      </c>
      <c r="C69" s="690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1"/>
      <c r="O69" s="691"/>
      <c r="P69" s="691"/>
      <c r="Q69" s="691"/>
      <c r="R69" s="691"/>
      <c r="S69" s="691"/>
    </row>
    <row r="70" spans="1:19" ht="32.1" customHeight="1">
      <c r="A70" s="270" t="s">
        <v>3881</v>
      </c>
      <c r="B70" s="274">
        <f>COUNTIF(E11:P67,"&lt;=5")</f>
        <v>4</v>
      </c>
      <c r="C70" s="690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1"/>
      <c r="R70" s="691"/>
      <c r="S70" s="691"/>
    </row>
    <row r="71" spans="1:19" ht="32.1" customHeight="1">
      <c r="A71" s="257" t="s">
        <v>3882</v>
      </c>
      <c r="B71" s="275">
        <f>COUNTIFS(E11:P67,"&gt;5",E11:P67,"&lt;=14")</f>
        <v>0</v>
      </c>
      <c r="C71" s="498"/>
      <c r="D71" s="505"/>
      <c r="E71" s="500"/>
      <c r="F71" s="501"/>
      <c r="G71" s="501"/>
      <c r="H71" s="501"/>
      <c r="I71" s="501"/>
      <c r="J71" s="501"/>
      <c r="K71" s="91"/>
      <c r="L71" s="91"/>
      <c r="M71" s="91"/>
      <c r="N71" s="91"/>
      <c r="O71" s="91"/>
      <c r="P71" s="91"/>
      <c r="Q71" s="132"/>
      <c r="R71" s="133"/>
      <c r="S71" s="134"/>
    </row>
    <row r="72" spans="1:19" ht="32.1" customHeight="1">
      <c r="A72" s="258" t="s">
        <v>3883</v>
      </c>
      <c r="B72" s="276">
        <f>COUNTIFS(E11:P67,"&gt;14",E11:P67,"&lt;=35")</f>
        <v>3</v>
      </c>
      <c r="C72" s="498"/>
      <c r="D72" s="505"/>
      <c r="E72" s="501"/>
      <c r="F72" s="501"/>
      <c r="G72" s="501"/>
      <c r="H72" s="501"/>
      <c r="I72" s="501"/>
      <c r="J72" s="501"/>
      <c r="K72" s="91"/>
      <c r="L72" s="91"/>
      <c r="M72" s="91"/>
      <c r="N72" s="91"/>
      <c r="O72" s="91"/>
      <c r="P72" s="91"/>
      <c r="Q72" s="132"/>
      <c r="R72" s="133"/>
      <c r="S72" s="134"/>
    </row>
    <row r="73" spans="1:19" ht="32.1" customHeight="1">
      <c r="A73" s="259" t="s">
        <v>3884</v>
      </c>
      <c r="B73" s="276">
        <f>COUNTIFS(E11:P67,"&gt;35",E11:P67,"&lt;=80")</f>
        <v>8</v>
      </c>
      <c r="C73" s="15"/>
      <c r="D73" s="233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132"/>
      <c r="R73" s="133"/>
      <c r="S73" s="134"/>
    </row>
    <row r="74" spans="1:19" ht="32.1" customHeight="1">
      <c r="A74" s="260" t="s">
        <v>3885</v>
      </c>
      <c r="B74" s="276">
        <f>COUNTIFS(E11:P67,"&gt;80",E11:P67,"&lt;=100")</f>
        <v>49</v>
      </c>
      <c r="C74" s="15"/>
      <c r="D74" s="233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132"/>
      <c r="R74" s="133"/>
      <c r="S74" s="134"/>
    </row>
    <row r="75" spans="1:19" ht="32.1" customHeight="1">
      <c r="A75" s="279" t="s">
        <v>3886</v>
      </c>
      <c r="B75" s="281">
        <f>COUNT(E11:P67)</f>
        <v>64</v>
      </c>
      <c r="C75" s="15"/>
      <c r="D75" s="233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132"/>
      <c r="R75" s="133"/>
      <c r="S75" s="134"/>
    </row>
    <row r="76" spans="1:19" ht="33.75" customHeight="1">
      <c r="A76" s="263" t="s">
        <v>3888</v>
      </c>
      <c r="B76" s="273">
        <f>B75-B70</f>
        <v>60</v>
      </c>
      <c r="C76" s="15"/>
      <c r="D76" s="233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132"/>
      <c r="R76" s="133"/>
      <c r="S76" s="134"/>
    </row>
    <row r="77" spans="1:19" ht="32.1" customHeight="1">
      <c r="A77" s="80"/>
      <c r="B77" s="90"/>
      <c r="C77" s="15"/>
      <c r="D77" s="233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132"/>
      <c r="R77" s="133"/>
      <c r="S77" s="134"/>
    </row>
    <row r="78" spans="1:19" ht="32.1" customHeight="1">
      <c r="A78" s="80"/>
      <c r="B78" s="90"/>
      <c r="C78" s="15"/>
      <c r="D78" s="233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132"/>
      <c r="R78" s="133"/>
      <c r="S78" s="134"/>
    </row>
    <row r="79" spans="1:19" ht="32.1" customHeight="1">
      <c r="A79" s="80"/>
      <c r="B79" s="90"/>
      <c r="C79" s="15"/>
      <c r="D79" s="233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132"/>
      <c r="R79" s="133"/>
      <c r="S79" s="134"/>
    </row>
    <row r="80" spans="1:19" ht="32.1" customHeight="1">
      <c r="A80" s="80"/>
      <c r="B80" s="90"/>
      <c r="C80" s="15"/>
      <c r="D80" s="233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132"/>
      <c r="R80" s="133"/>
      <c r="S80" s="134"/>
    </row>
    <row r="81" spans="1:19" ht="32.1" customHeight="1">
      <c r="A81" s="80"/>
      <c r="B81" s="90"/>
      <c r="C81" s="15"/>
      <c r="D81" s="233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132"/>
      <c r="R81" s="133"/>
      <c r="S81" s="134"/>
    </row>
    <row r="82" spans="1:19" ht="32.1" customHeight="1">
      <c r="A82" s="80"/>
      <c r="B82" s="90"/>
      <c r="C82" s="15"/>
      <c r="D82" s="233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132"/>
      <c r="R82" s="133"/>
      <c r="S82" s="134"/>
    </row>
    <row r="83" spans="1:19" ht="32.1" customHeight="1">
      <c r="A83" s="80"/>
      <c r="B83" s="90"/>
      <c r="C83" s="15"/>
      <c r="D83" s="233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132"/>
      <c r="R83" s="133"/>
      <c r="S83" s="134"/>
    </row>
    <row r="84" spans="1:19" ht="32.1" customHeight="1">
      <c r="A84" s="80"/>
      <c r="B84" s="90"/>
      <c r="C84" s="15"/>
      <c r="D84" s="233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132"/>
      <c r="R84" s="133"/>
      <c r="S84" s="134"/>
    </row>
    <row r="85" spans="1:19" ht="32.1" customHeight="1">
      <c r="A85" s="80"/>
      <c r="B85" s="90"/>
      <c r="C85" s="15"/>
      <c r="D85" s="23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132"/>
      <c r="R85" s="133"/>
      <c r="S85" s="134"/>
    </row>
    <row r="86" spans="1:19" ht="32.1" customHeight="1">
      <c r="A86" s="80"/>
      <c r="B86" s="90"/>
      <c r="C86" s="15"/>
      <c r="D86" s="23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132"/>
      <c r="R86" s="133"/>
      <c r="S86" s="134"/>
    </row>
    <row r="87" spans="1:19" ht="32.1" customHeight="1">
      <c r="A87" s="80"/>
      <c r="B87" s="90"/>
      <c r="C87" s="15"/>
      <c r="D87" s="23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132"/>
      <c r="R87" s="133"/>
      <c r="S87" s="134"/>
    </row>
    <row r="88" spans="1:19" ht="32.1" customHeight="1">
      <c r="A88" s="80"/>
      <c r="B88" s="90"/>
      <c r="C88" s="15"/>
      <c r="D88" s="23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132"/>
      <c r="R88" s="133"/>
      <c r="S88" s="134"/>
    </row>
    <row r="89" spans="1:19" ht="32.1" customHeight="1">
      <c r="A89" s="80"/>
      <c r="B89" s="90"/>
      <c r="C89" s="15"/>
      <c r="D89" s="23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132"/>
      <c r="R89" s="133"/>
      <c r="S89" s="134"/>
    </row>
    <row r="90" spans="1:19" ht="32.1" customHeight="1">
      <c r="A90" s="80"/>
      <c r="B90" s="90"/>
      <c r="C90" s="15"/>
      <c r="D90" s="23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132"/>
      <c r="R90" s="133"/>
      <c r="S90" s="134"/>
    </row>
    <row r="91" spans="1:19" ht="32.1" customHeight="1">
      <c r="A91" s="80"/>
      <c r="B91" s="90"/>
      <c r="C91" s="15"/>
      <c r="D91" s="23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132"/>
      <c r="R91" s="133"/>
      <c r="S91" s="134"/>
    </row>
    <row r="92" spans="1:19" ht="32.1" customHeight="1">
      <c r="A92" s="80"/>
      <c r="B92" s="90"/>
      <c r="C92" s="15"/>
      <c r="D92" s="23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132"/>
      <c r="R92" s="133"/>
      <c r="S92" s="134"/>
    </row>
    <row r="93" spans="1:19" ht="32.1" customHeight="1">
      <c r="A93" s="80"/>
      <c r="B93" s="90"/>
      <c r="C93" s="15"/>
      <c r="D93" s="23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132"/>
      <c r="R93" s="133"/>
      <c r="S93" s="134"/>
    </row>
    <row r="94" spans="1:19" ht="32.1" customHeight="1">
      <c r="A94" s="80"/>
      <c r="B94" s="90"/>
      <c r="C94" s="15"/>
      <c r="D94" s="23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132"/>
      <c r="R94" s="133"/>
      <c r="S94" s="134"/>
    </row>
    <row r="95" spans="1:19" ht="32.1" customHeight="1">
      <c r="A95" s="80"/>
      <c r="B95" s="90"/>
      <c r="C95" s="15"/>
      <c r="D95" s="23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132"/>
      <c r="R95" s="133"/>
      <c r="S95" s="134"/>
    </row>
    <row r="96" spans="1:19" ht="32.1" customHeight="1">
      <c r="A96" s="80"/>
      <c r="B96" s="90"/>
      <c r="C96" s="15"/>
      <c r="D96" s="23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132"/>
      <c r="R96" s="133"/>
      <c r="S96" s="134"/>
    </row>
    <row r="97" spans="1:19" ht="32.1" customHeight="1">
      <c r="A97" s="80"/>
      <c r="B97" s="90"/>
      <c r="C97" s="15"/>
      <c r="D97" s="23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132"/>
      <c r="R97" s="133"/>
      <c r="S97" s="134"/>
    </row>
    <row r="98" spans="1:19" ht="32.1" customHeight="1">
      <c r="A98" s="80"/>
      <c r="B98" s="90"/>
      <c r="C98" s="15"/>
      <c r="D98" s="23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132"/>
      <c r="R98" s="133"/>
      <c r="S98" s="134"/>
    </row>
    <row r="99" spans="1:19" ht="32.1" customHeight="1">
      <c r="A99" s="80"/>
      <c r="B99" s="90"/>
      <c r="C99" s="15"/>
      <c r="D99" s="23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132"/>
      <c r="R99" s="133"/>
      <c r="S99" s="134"/>
    </row>
    <row r="100" spans="1:19" ht="32.1" customHeight="1">
      <c r="A100" s="80"/>
      <c r="B100" s="90"/>
      <c r="C100" s="15"/>
      <c r="D100" s="23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132"/>
      <c r="R100" s="133"/>
      <c r="S100" s="134"/>
    </row>
    <row r="101" spans="1:19" ht="32.1" customHeight="1">
      <c r="A101" s="80"/>
      <c r="B101" s="90"/>
      <c r="C101" s="15"/>
      <c r="D101" s="23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132"/>
      <c r="R101" s="133"/>
      <c r="S101" s="134"/>
    </row>
    <row r="102" spans="1:19" ht="32.1" customHeight="1">
      <c r="A102" s="80"/>
      <c r="B102" s="90"/>
      <c r="C102" s="15"/>
      <c r="D102" s="23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132"/>
      <c r="R102" s="133"/>
      <c r="S102" s="134"/>
    </row>
    <row r="103" spans="1:19" ht="32.1" customHeight="1">
      <c r="A103" s="80"/>
      <c r="B103" s="90"/>
      <c r="C103" s="15"/>
      <c r="D103" s="23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132"/>
      <c r="R103" s="133"/>
      <c r="S103" s="134"/>
    </row>
    <row r="104" spans="1:19" ht="32.1" customHeight="1">
      <c r="A104" s="80"/>
      <c r="B104" s="90"/>
      <c r="C104" s="15"/>
      <c r="D104" s="233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132"/>
      <c r="R104" s="133"/>
      <c r="S104" s="134"/>
    </row>
    <row r="105" spans="1:19" ht="32.1" customHeight="1">
      <c r="A105" s="80"/>
      <c r="B105" s="90"/>
      <c r="C105" s="15"/>
      <c r="D105" s="233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132"/>
      <c r="R105" s="133"/>
      <c r="S105" s="134"/>
    </row>
    <row r="106" spans="1:19" ht="32.1" customHeight="1">
      <c r="A106" s="80"/>
      <c r="B106" s="90"/>
      <c r="C106" s="15"/>
      <c r="D106" s="233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132"/>
      <c r="R106" s="133"/>
      <c r="S106" s="134"/>
    </row>
    <row r="107" spans="1:19" ht="32.1" customHeight="1">
      <c r="A107" s="80"/>
      <c r="B107" s="90"/>
      <c r="C107" s="15"/>
      <c r="D107" s="233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132"/>
      <c r="R107" s="133"/>
      <c r="S107" s="134"/>
    </row>
    <row r="108" spans="1:19" ht="32.1" customHeight="1">
      <c r="A108" s="80"/>
      <c r="B108" s="90"/>
      <c r="C108" s="15"/>
      <c r="D108" s="233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132"/>
      <c r="R108" s="133"/>
      <c r="S108" s="134"/>
    </row>
    <row r="109" spans="1:19" ht="32.1" customHeight="1">
      <c r="A109" s="80"/>
      <c r="B109" s="90"/>
      <c r="C109" s="15"/>
      <c r="D109" s="233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132"/>
      <c r="R109" s="133"/>
      <c r="S109" s="134"/>
    </row>
    <row r="110" spans="1:19" ht="32.1" customHeight="1">
      <c r="A110" s="80"/>
      <c r="B110" s="90"/>
      <c r="C110" s="15"/>
      <c r="D110" s="233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132"/>
      <c r="R110" s="133"/>
      <c r="S110" s="134"/>
    </row>
    <row r="111" spans="1:19" ht="32.1" customHeight="1">
      <c r="A111" s="80"/>
      <c r="B111" s="90"/>
      <c r="C111" s="15"/>
      <c r="D111" s="233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132"/>
      <c r="R111" s="133"/>
      <c r="S111" s="134"/>
    </row>
    <row r="112" spans="1:19" ht="32.1" customHeight="1">
      <c r="A112" s="80"/>
      <c r="B112" s="90"/>
      <c r="C112" s="15"/>
      <c r="D112" s="233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132"/>
      <c r="R112" s="133"/>
      <c r="S112" s="134"/>
    </row>
    <row r="113" spans="1:19" ht="32.1" customHeight="1">
      <c r="A113" s="80"/>
      <c r="B113" s="90"/>
      <c r="C113" s="15"/>
      <c r="D113" s="233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132"/>
      <c r="R113" s="133"/>
      <c r="S113" s="134"/>
    </row>
    <row r="114" spans="1:19" ht="32.1" customHeight="1">
      <c r="A114" s="80"/>
      <c r="B114" s="90"/>
      <c r="C114" s="15"/>
      <c r="D114" s="233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132"/>
      <c r="R114" s="133"/>
      <c r="S114" s="134"/>
    </row>
    <row r="115" spans="1:19" ht="32.1" customHeight="1">
      <c r="A115" s="80"/>
      <c r="B115" s="90"/>
      <c r="C115" s="15"/>
      <c r="D115" s="233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132"/>
      <c r="R115" s="133"/>
      <c r="S115" s="134"/>
    </row>
    <row r="116" spans="1:19" ht="32.1" customHeight="1">
      <c r="A116" s="80"/>
      <c r="B116" s="90"/>
      <c r="C116" s="15"/>
      <c r="D116" s="233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132"/>
      <c r="R116" s="133"/>
      <c r="S116" s="134"/>
    </row>
    <row r="117" spans="1:19" ht="32.1" customHeight="1">
      <c r="A117" s="80"/>
      <c r="B117" s="90"/>
      <c r="C117" s="15"/>
      <c r="D117" s="233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132"/>
      <c r="R117" s="133"/>
      <c r="S117" s="134"/>
    </row>
    <row r="118" spans="1:19" ht="32.1" customHeight="1">
      <c r="A118" s="80"/>
      <c r="B118" s="90"/>
      <c r="C118" s="15"/>
      <c r="D118" s="233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132"/>
      <c r="R118" s="133"/>
      <c r="S118" s="134"/>
    </row>
    <row r="119" spans="1:19" ht="32.1" customHeight="1">
      <c r="A119" s="80"/>
      <c r="B119" s="90"/>
      <c r="C119" s="15"/>
      <c r="D119" s="233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1:19" ht="32.1" customHeight="1">
      <c r="A120" s="80"/>
      <c r="B120" s="90"/>
      <c r="C120" s="15"/>
      <c r="D120" s="233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1:19" ht="32.1" customHeight="1">
      <c r="A121" s="80"/>
      <c r="B121" s="90"/>
      <c r="C121" s="15"/>
      <c r="D121" s="233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1:19" ht="32.1" customHeight="1">
      <c r="A122" s="80"/>
      <c r="B122" s="90"/>
      <c r="C122" s="15"/>
      <c r="D122" s="233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ht="32.1" customHeight="1">
      <c r="A123" s="80"/>
      <c r="B123" s="90"/>
      <c r="C123" s="15"/>
      <c r="D123" s="233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1:19" ht="32.1" customHeight="1">
      <c r="A124" s="80"/>
      <c r="B124" s="90"/>
      <c r="C124" s="15"/>
      <c r="D124" s="233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1:19" ht="32.1" customHeight="1">
      <c r="A125" s="80"/>
      <c r="B125" s="90"/>
      <c r="C125" s="15"/>
      <c r="D125" s="233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1:19" ht="32.1" customHeight="1">
      <c r="A126" s="80"/>
      <c r="B126" s="90"/>
      <c r="C126" s="15"/>
      <c r="D126" s="233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1:19" ht="32.1" customHeight="1">
      <c r="A127" s="80"/>
      <c r="B127" s="90"/>
      <c r="C127" s="15"/>
      <c r="D127" s="233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1:19" ht="32.1" customHeight="1">
      <c r="A128" s="80"/>
      <c r="B128" s="90"/>
      <c r="C128" s="15"/>
      <c r="D128" s="233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1:19" ht="32.1" customHeight="1">
      <c r="A129" s="80"/>
      <c r="B129" s="90"/>
      <c r="C129" s="15"/>
      <c r="D129" s="233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1:19" ht="32.1" customHeight="1">
      <c r="A130" s="80"/>
      <c r="B130" s="90"/>
      <c r="C130" s="15"/>
      <c r="D130" s="233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1:19" ht="32.1" customHeight="1">
      <c r="A131" s="80"/>
      <c r="B131" s="90"/>
      <c r="C131" s="15"/>
      <c r="D131" s="233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1:19" ht="32.1" customHeight="1">
      <c r="A132" s="80"/>
      <c r="B132" s="90"/>
      <c r="C132" s="15"/>
      <c r="D132" s="233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1:19" ht="32.1" customHeight="1">
      <c r="A133" s="80"/>
      <c r="B133" s="90"/>
      <c r="C133" s="15"/>
      <c r="D133" s="233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1:19" ht="32.1" customHeight="1">
      <c r="A134" s="80"/>
      <c r="B134" s="90"/>
      <c r="C134" s="15"/>
      <c r="D134" s="233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1:19" ht="32.1" customHeight="1">
      <c r="A135" s="80"/>
      <c r="B135" s="90"/>
      <c r="C135" s="15"/>
      <c r="D135" s="233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1:19" ht="32.1" customHeight="1">
      <c r="A136" s="80"/>
      <c r="B136" s="90"/>
      <c r="C136" s="15"/>
      <c r="D136" s="233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1:19" ht="32.1" customHeight="1">
      <c r="A137" s="80"/>
      <c r="B137" s="90"/>
      <c r="C137" s="15"/>
      <c r="D137" s="233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1:19" ht="32.1" customHeight="1">
      <c r="A138" s="80"/>
      <c r="B138" s="90"/>
      <c r="C138" s="15"/>
      <c r="D138" s="233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1:19" ht="32.1" customHeight="1">
      <c r="A139" s="80"/>
      <c r="B139" s="90"/>
      <c r="C139" s="15"/>
      <c r="D139" s="233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1:19" ht="32.1" customHeight="1">
      <c r="A140" s="80"/>
      <c r="B140" s="90"/>
      <c r="C140" s="15"/>
      <c r="D140" s="233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1:19" ht="32.1" customHeight="1">
      <c r="A141" s="80"/>
      <c r="B141" s="90"/>
      <c r="C141" s="15"/>
      <c r="D141" s="233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1:19" ht="32.1" customHeight="1">
      <c r="A142" s="80"/>
      <c r="B142" s="90"/>
      <c r="C142" s="15"/>
      <c r="D142" s="233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1:19" ht="32.1" customHeight="1">
      <c r="A143" s="80"/>
      <c r="B143" s="90"/>
      <c r="C143" s="15"/>
      <c r="D143" s="233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1:19" ht="32.1" customHeight="1">
      <c r="A144" s="80"/>
      <c r="B144" s="90"/>
      <c r="C144" s="15"/>
      <c r="D144" s="233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1:19" ht="32.1" customHeight="1">
      <c r="A145" s="80"/>
      <c r="B145" s="90"/>
      <c r="C145" s="15"/>
      <c r="D145" s="233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1:19" ht="32.1" customHeight="1">
      <c r="A146" s="80"/>
      <c r="B146" s="90"/>
      <c r="C146" s="15"/>
      <c r="D146" s="233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1:19" ht="32.1" customHeight="1">
      <c r="A147" s="80"/>
      <c r="B147" s="90"/>
      <c r="C147" s="15"/>
      <c r="D147" s="233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1:19" ht="32.1" customHeight="1">
      <c r="A148" s="80"/>
      <c r="B148" s="90"/>
      <c r="C148" s="15"/>
      <c r="D148" s="233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1:19" ht="32.1" customHeight="1">
      <c r="A149" s="80"/>
      <c r="B149" s="90"/>
      <c r="C149" s="15"/>
      <c r="D149" s="233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ht="32.1" customHeight="1">
      <c r="A150" s="80"/>
      <c r="B150" s="90"/>
      <c r="C150" s="15"/>
      <c r="D150" s="233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1:19" ht="32.1" customHeight="1">
      <c r="A151" s="80"/>
      <c r="B151" s="90"/>
      <c r="C151" s="15"/>
      <c r="D151" s="233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1:19" ht="32.1" customHeight="1">
      <c r="A152" s="80"/>
      <c r="B152" s="90"/>
      <c r="C152" s="15"/>
      <c r="D152" s="233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1:19" ht="32.1" customHeight="1">
      <c r="A153" s="80"/>
      <c r="B153" s="90"/>
      <c r="C153" s="15"/>
      <c r="D153" s="233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1:19" ht="32.1" customHeight="1">
      <c r="A154" s="80"/>
      <c r="B154" s="90"/>
      <c r="C154" s="15"/>
      <c r="D154" s="233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1:19" ht="32.1" customHeight="1">
      <c r="A155" s="80"/>
      <c r="B155" s="90"/>
      <c r="C155" s="15"/>
      <c r="D155" s="233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1:19" ht="32.1" customHeight="1">
      <c r="A156" s="80"/>
      <c r="B156" s="90"/>
      <c r="C156" s="15"/>
      <c r="D156" s="233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1:19" ht="32.1" customHeight="1">
      <c r="A157" s="80"/>
      <c r="B157" s="90"/>
      <c r="C157" s="15"/>
      <c r="D157" s="233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1:19" ht="32.1" customHeight="1">
      <c r="A158" s="80"/>
      <c r="B158" s="90"/>
      <c r="C158" s="15"/>
      <c r="D158" s="233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1:19" ht="32.1" customHeight="1">
      <c r="A159" s="80"/>
      <c r="B159" s="90"/>
      <c r="C159" s="15"/>
      <c r="D159" s="233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1:19" ht="32.1" customHeight="1">
      <c r="A160" s="80"/>
      <c r="B160" s="90"/>
      <c r="C160" s="15"/>
      <c r="D160" s="233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1:19" ht="32.1" customHeight="1">
      <c r="A161" s="80"/>
      <c r="B161" s="90"/>
      <c r="C161" s="15"/>
      <c r="D161" s="233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1:19" ht="32.1" customHeight="1">
      <c r="A162" s="80"/>
      <c r="B162" s="90"/>
      <c r="C162" s="15"/>
      <c r="D162" s="233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1:19" ht="32.1" customHeight="1">
      <c r="A163" s="80"/>
      <c r="B163" s="90"/>
      <c r="C163" s="15"/>
      <c r="D163" s="233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1:19" ht="32.1" customHeight="1">
      <c r="A164" s="80"/>
      <c r="B164" s="90"/>
      <c r="C164" s="15"/>
      <c r="D164" s="233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1:19" ht="32.1" customHeight="1">
      <c r="A165" s="80"/>
      <c r="B165" s="90"/>
      <c r="C165" s="15"/>
      <c r="D165" s="233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1:19" ht="32.1" customHeight="1">
      <c r="A166" s="80"/>
      <c r="B166" s="90"/>
      <c r="C166" s="15"/>
      <c r="D166" s="233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1:19" ht="32.1" customHeight="1">
      <c r="A167" s="80"/>
      <c r="B167" s="90"/>
      <c r="C167" s="15"/>
      <c r="D167" s="233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1:19" ht="32.1" customHeight="1">
      <c r="A168" s="80"/>
      <c r="B168" s="90"/>
      <c r="C168" s="15"/>
      <c r="D168" s="233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1:19" ht="32.1" customHeight="1">
      <c r="A169" s="80"/>
      <c r="B169" s="90"/>
      <c r="C169" s="15"/>
      <c r="D169" s="233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1:19" ht="32.1" customHeight="1">
      <c r="A170" s="80"/>
      <c r="B170" s="90"/>
      <c r="C170" s="15"/>
      <c r="D170" s="233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1:19" ht="32.1" customHeight="1">
      <c r="A171" s="80"/>
      <c r="B171" s="90"/>
      <c r="C171" s="15"/>
      <c r="D171" s="233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1:19" ht="32.1" customHeight="1">
      <c r="A172" s="80"/>
      <c r="B172" s="90"/>
      <c r="C172" s="15"/>
      <c r="D172" s="233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1:19" ht="32.1" customHeight="1">
      <c r="A173" s="80"/>
      <c r="B173" s="90"/>
      <c r="C173" s="15"/>
      <c r="D173" s="233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1:19" ht="32.1" customHeight="1">
      <c r="A174" s="80"/>
      <c r="B174" s="90"/>
      <c r="C174" s="15"/>
      <c r="D174" s="233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1:19" ht="32.1" customHeight="1">
      <c r="A175" s="80"/>
      <c r="B175" s="90"/>
      <c r="C175" s="15"/>
      <c r="D175" s="233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1:19" ht="32.1" customHeight="1">
      <c r="A176" s="80"/>
      <c r="B176" s="90"/>
      <c r="C176" s="15"/>
      <c r="D176" s="233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1:19" ht="32.1" customHeight="1">
      <c r="A177" s="80"/>
      <c r="B177" s="90"/>
      <c r="C177" s="15"/>
      <c r="D177" s="233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1:19" ht="32.1" customHeight="1">
      <c r="A178" s="80"/>
      <c r="B178" s="90"/>
      <c r="C178" s="15"/>
      <c r="D178" s="233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1:19" ht="32.1" customHeight="1">
      <c r="A179" s="80"/>
      <c r="B179" s="90"/>
      <c r="C179" s="15"/>
      <c r="D179" s="233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1:19" ht="32.1" customHeight="1">
      <c r="A180" s="80"/>
      <c r="B180" s="90"/>
      <c r="C180" s="15"/>
      <c r="D180" s="233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1:19" ht="32.1" customHeight="1">
      <c r="A181" s="80"/>
      <c r="B181" s="90"/>
      <c r="C181" s="15"/>
      <c r="D181" s="233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1:19" ht="32.1" customHeight="1">
      <c r="A182" s="80"/>
      <c r="B182" s="90"/>
      <c r="C182" s="15"/>
      <c r="D182" s="233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1:19" ht="32.1" customHeight="1">
      <c r="A183" s="80"/>
      <c r="B183" s="90"/>
      <c r="C183" s="15"/>
      <c r="D183" s="233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1:19" ht="32.1" customHeight="1">
      <c r="A184" s="80"/>
      <c r="B184" s="90"/>
      <c r="C184" s="15"/>
      <c r="D184" s="233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1:19" ht="32.1" customHeight="1">
      <c r="A185" s="80"/>
      <c r="B185" s="90"/>
      <c r="C185" s="15"/>
      <c r="D185" s="233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1:19" ht="32.1" customHeight="1">
      <c r="A186" s="80"/>
      <c r="B186" s="90"/>
      <c r="C186" s="15"/>
      <c r="D186" s="233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1:19" ht="32.1" customHeight="1">
      <c r="A187" s="80"/>
      <c r="B187" s="90"/>
      <c r="C187" s="15"/>
      <c r="D187" s="233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1:19" ht="32.1" customHeight="1">
      <c r="A188" s="80"/>
      <c r="B188" s="90"/>
      <c r="C188" s="15"/>
      <c r="D188" s="233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1:19" ht="32.1" customHeight="1">
      <c r="A189" s="80"/>
      <c r="B189" s="90"/>
      <c r="C189" s="15"/>
      <c r="D189" s="233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1:19" ht="32.1" customHeight="1">
      <c r="A190" s="80"/>
      <c r="B190" s="90"/>
      <c r="C190" s="15"/>
      <c r="D190" s="233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1:19" ht="32.1" customHeight="1">
      <c r="A191" s="80"/>
      <c r="B191" s="90"/>
      <c r="C191" s="15"/>
      <c r="D191" s="233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1:19" ht="32.1" customHeight="1">
      <c r="A192" s="80"/>
      <c r="B192" s="90"/>
      <c r="C192" s="15"/>
      <c r="D192" s="233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1:19" ht="32.1" customHeight="1">
      <c r="A193" s="80"/>
      <c r="B193" s="90"/>
      <c r="C193" s="15"/>
      <c r="D193" s="233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1:19" ht="32.1" customHeight="1">
      <c r="A194" s="80"/>
      <c r="B194" s="90"/>
      <c r="C194" s="15"/>
      <c r="D194" s="233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1:19" ht="12.75" customHeight="1">
      <c r="A195" s="80"/>
      <c r="B195" s="90"/>
      <c r="C195" s="15"/>
      <c r="D195" s="233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1:19" ht="12.75" customHeight="1">
      <c r="A196" s="80"/>
      <c r="B196" s="90"/>
      <c r="C196" s="15"/>
      <c r="D196" s="233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1:19" ht="12.75" customHeight="1">
      <c r="A197" s="80"/>
      <c r="B197" s="90"/>
      <c r="C197" s="15"/>
      <c r="D197" s="233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1:19" ht="12.75" customHeight="1">
      <c r="A198" s="80"/>
      <c r="B198" s="90"/>
      <c r="C198" s="15"/>
      <c r="D198" s="233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1:19" ht="12.75" customHeight="1">
      <c r="A199" s="80"/>
      <c r="B199" s="90"/>
      <c r="C199" s="15"/>
      <c r="D199" s="233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1:19" ht="12.75" customHeight="1">
      <c r="A200" s="80"/>
      <c r="B200" s="90"/>
      <c r="C200" s="15"/>
      <c r="D200" s="233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1:19" ht="12.75" customHeight="1">
      <c r="A201" s="80"/>
      <c r="B201" s="90"/>
      <c r="C201" s="15"/>
      <c r="D201" s="233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1:19" ht="12.75" customHeight="1">
      <c r="A202" s="80"/>
      <c r="B202" s="90"/>
      <c r="C202" s="15"/>
      <c r="D202" s="233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1:19" ht="12.75" customHeight="1">
      <c r="A203" s="80"/>
      <c r="B203" s="90"/>
      <c r="C203" s="15"/>
      <c r="D203" s="233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1:19" ht="12.75" customHeight="1">
      <c r="A204" s="80"/>
      <c r="B204" s="90"/>
      <c r="C204" s="15"/>
      <c r="D204" s="233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1:19" ht="12.75" customHeight="1">
      <c r="A205" s="80"/>
      <c r="B205" s="90"/>
      <c r="C205" s="15"/>
      <c r="D205" s="233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1:19" ht="12.75" customHeight="1">
      <c r="A206" s="80"/>
      <c r="B206" s="90"/>
      <c r="C206" s="15"/>
      <c r="D206" s="233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1:19" ht="12.75" customHeight="1">
      <c r="A207" s="80"/>
      <c r="B207" s="90"/>
      <c r="C207" s="15"/>
      <c r="D207" s="233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1:19" ht="12.75" customHeight="1">
      <c r="A208" s="80"/>
      <c r="B208" s="90"/>
      <c r="C208" s="15"/>
      <c r="D208" s="233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1:19" ht="12.75" customHeight="1">
      <c r="A209" s="80"/>
      <c r="B209" s="90"/>
      <c r="C209" s="15"/>
      <c r="D209" s="233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1:19" ht="12.75" customHeight="1">
      <c r="A210" s="80"/>
      <c r="B210" s="90"/>
      <c r="C210" s="15"/>
      <c r="D210" s="233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1:19" ht="12.75" customHeight="1">
      <c r="A211" s="80"/>
      <c r="B211" s="90"/>
      <c r="C211" s="15"/>
      <c r="D211" s="233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1:19" ht="12.75" customHeight="1">
      <c r="A212" s="80"/>
      <c r="B212" s="90"/>
      <c r="C212" s="15"/>
      <c r="D212" s="233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1:19" ht="12.75" customHeight="1">
      <c r="A213" s="80"/>
      <c r="B213" s="90"/>
      <c r="C213" s="15"/>
      <c r="D213" s="233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1:19" ht="12.75" customHeight="1">
      <c r="A214" s="80"/>
      <c r="B214" s="90"/>
      <c r="C214" s="15"/>
      <c r="D214" s="233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1:19" ht="12.75" customHeight="1">
      <c r="A215" s="80"/>
      <c r="B215" s="90"/>
      <c r="C215" s="15"/>
      <c r="D215" s="233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1:19" ht="12.75" customHeight="1">
      <c r="A216" s="80"/>
      <c r="B216" s="90"/>
      <c r="C216" s="15"/>
      <c r="D216" s="233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1:19" ht="12.75" customHeight="1">
      <c r="A217" s="80"/>
      <c r="B217" s="90"/>
      <c r="C217" s="15"/>
      <c r="D217" s="233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1:19" ht="12.75" customHeight="1">
      <c r="A218" s="80"/>
      <c r="B218" s="90"/>
      <c r="C218" s="15"/>
      <c r="D218" s="233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1:19" ht="12.75" customHeight="1">
      <c r="A219" s="80"/>
      <c r="B219" s="90"/>
      <c r="C219" s="15"/>
      <c r="D219" s="233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1:19" ht="12.75" customHeight="1">
      <c r="A220" s="80"/>
      <c r="B220" s="90"/>
      <c r="C220" s="15"/>
      <c r="D220" s="233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1:19" ht="12.75" customHeight="1">
      <c r="A221" s="80"/>
      <c r="B221" s="90"/>
      <c r="C221" s="15"/>
      <c r="D221" s="233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1:19" ht="12.75" customHeight="1">
      <c r="A222" s="80"/>
      <c r="B222" s="90"/>
      <c r="C222" s="15"/>
      <c r="D222" s="233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1:19" ht="12.75" customHeight="1">
      <c r="A223" s="80"/>
      <c r="B223" s="90"/>
      <c r="C223" s="15"/>
      <c r="D223" s="233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1:19" ht="12.75" customHeight="1">
      <c r="A224" s="80"/>
      <c r="B224" s="90"/>
      <c r="C224" s="15"/>
      <c r="D224" s="233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1:19" ht="12.75" customHeight="1">
      <c r="A225" s="80"/>
      <c r="B225" s="90"/>
      <c r="C225" s="15"/>
      <c r="D225" s="233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1:19" ht="12.75" customHeight="1">
      <c r="A226" s="80"/>
      <c r="B226" s="90"/>
      <c r="C226" s="15"/>
      <c r="D226" s="233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1:19" ht="12.75" customHeight="1">
      <c r="A227" s="80"/>
      <c r="B227" s="90"/>
      <c r="C227" s="15"/>
      <c r="D227" s="233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1:19" ht="12.75" customHeight="1">
      <c r="A228" s="80"/>
      <c r="B228" s="90"/>
      <c r="C228" s="15"/>
      <c r="D228" s="233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1:19" ht="12.75" customHeight="1">
      <c r="A229" s="80"/>
      <c r="B229" s="90"/>
      <c r="C229" s="15"/>
      <c r="D229" s="233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1:19" ht="12.75" customHeight="1">
      <c r="A230" s="80"/>
      <c r="B230" s="90"/>
      <c r="C230" s="15"/>
      <c r="D230" s="233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1:19" ht="12.75" customHeight="1">
      <c r="A231" s="80"/>
      <c r="B231" s="90"/>
      <c r="C231" s="15"/>
      <c r="D231" s="233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1:19" ht="12.75" customHeight="1">
      <c r="A232" s="80"/>
      <c r="B232" s="90"/>
      <c r="C232" s="15"/>
      <c r="D232" s="233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1:19" ht="12.75" customHeight="1">
      <c r="A233" s="80"/>
      <c r="B233" s="90"/>
      <c r="C233" s="15"/>
      <c r="D233" s="233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1:19" ht="12.75" customHeight="1">
      <c r="A234" s="80"/>
      <c r="B234" s="90"/>
      <c r="C234" s="15"/>
      <c r="D234" s="233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1:19" ht="12.75" customHeight="1">
      <c r="A235" s="80"/>
      <c r="B235" s="90"/>
      <c r="C235" s="15"/>
      <c r="D235" s="233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1:19" ht="12.75" customHeight="1">
      <c r="A236" s="80"/>
      <c r="B236" s="90"/>
      <c r="C236" s="15"/>
      <c r="D236" s="233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1:19" ht="12.75" customHeight="1">
      <c r="A237" s="80"/>
      <c r="B237" s="90"/>
      <c r="C237" s="15"/>
      <c r="D237" s="233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1:19" ht="12.75" customHeight="1">
      <c r="A238" s="80"/>
      <c r="B238" s="90"/>
      <c r="C238" s="15"/>
      <c r="D238" s="233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1:19" ht="12.75" customHeight="1">
      <c r="A239" s="80"/>
      <c r="B239" s="90"/>
      <c r="C239" s="15"/>
      <c r="D239" s="233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1:19" ht="12.75" customHeight="1">
      <c r="A240" s="80"/>
      <c r="B240" s="90"/>
      <c r="C240" s="15"/>
      <c r="D240" s="233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1:19" ht="12.75" customHeight="1">
      <c r="A241" s="80"/>
      <c r="B241" s="90"/>
      <c r="C241" s="15"/>
      <c r="D241" s="233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1:19" ht="12.75" customHeight="1">
      <c r="A242" s="80"/>
      <c r="B242" s="90"/>
      <c r="C242" s="15"/>
      <c r="D242" s="233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1:19" ht="12.75" customHeight="1">
      <c r="A243" s="80"/>
      <c r="B243" s="90"/>
      <c r="C243" s="15"/>
      <c r="D243" s="233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1:19" ht="12.75" customHeight="1">
      <c r="A244" s="80"/>
      <c r="B244" s="90"/>
      <c r="C244" s="15"/>
      <c r="D244" s="233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1:19" ht="12.75" customHeight="1">
      <c r="A245" s="80"/>
      <c r="B245" s="90"/>
      <c r="C245" s="15"/>
      <c r="D245" s="233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1:19" ht="12.75" customHeight="1">
      <c r="A246" s="80"/>
      <c r="B246" s="90"/>
      <c r="C246" s="15"/>
      <c r="D246" s="233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1:19" ht="12.75" customHeight="1">
      <c r="A247" s="80"/>
      <c r="B247" s="90"/>
      <c r="C247" s="15"/>
      <c r="D247" s="233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1:19" ht="12.75" customHeight="1">
      <c r="A248" s="80"/>
      <c r="B248" s="90"/>
      <c r="C248" s="15"/>
      <c r="D248" s="233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1:19" ht="12.75" customHeight="1">
      <c r="A249" s="80"/>
      <c r="B249" s="90"/>
      <c r="C249" s="15"/>
      <c r="D249" s="233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1:19" ht="12.75" customHeight="1">
      <c r="A250" s="80"/>
      <c r="B250" s="90"/>
      <c r="C250" s="15"/>
      <c r="D250" s="233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1:19" ht="12.75" customHeight="1">
      <c r="A251" s="80"/>
      <c r="B251" s="90"/>
      <c r="C251" s="15"/>
      <c r="D251" s="233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1:19" ht="12.75" customHeight="1">
      <c r="A252" s="80"/>
      <c r="B252" s="90"/>
      <c r="C252" s="15"/>
      <c r="D252" s="233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1:19" ht="12.75" customHeight="1">
      <c r="A253" s="80"/>
      <c r="B253" s="90"/>
      <c r="C253" s="15"/>
      <c r="D253" s="233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1:19" ht="12.75" customHeight="1">
      <c r="A254" s="80"/>
      <c r="B254" s="90"/>
      <c r="C254" s="15"/>
      <c r="D254" s="233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1:19" ht="12.75" customHeight="1">
      <c r="A255" s="80"/>
      <c r="B255" s="90"/>
      <c r="C255" s="15"/>
      <c r="D255" s="233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1:19" ht="12.75" customHeight="1">
      <c r="A256" s="80"/>
      <c r="B256" s="90"/>
      <c r="C256" s="15"/>
      <c r="D256" s="233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1:19" ht="12.75" customHeight="1">
      <c r="A257" s="80"/>
      <c r="B257" s="90"/>
      <c r="C257" s="15"/>
      <c r="D257" s="233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1:19" ht="12.75" customHeight="1">
      <c r="A258" s="80"/>
      <c r="B258" s="90"/>
      <c r="C258" s="15"/>
      <c r="D258" s="233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1:19" ht="12.75" customHeight="1">
      <c r="A259" s="80"/>
      <c r="B259" s="90"/>
      <c r="C259" s="15"/>
      <c r="D259" s="233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1:19" ht="12.75" customHeight="1">
      <c r="A260" s="80"/>
      <c r="B260" s="90"/>
      <c r="C260" s="15"/>
      <c r="D260" s="233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1:19" ht="12.75" customHeight="1">
      <c r="A261" s="80"/>
      <c r="B261" s="90"/>
      <c r="C261" s="15"/>
      <c r="D261" s="233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1:19" ht="12.75" customHeight="1">
      <c r="A262" s="80"/>
      <c r="B262" s="90"/>
      <c r="C262" s="15"/>
      <c r="D262" s="233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1:19" ht="12.75" customHeight="1">
      <c r="A263" s="80"/>
      <c r="B263" s="90"/>
      <c r="C263" s="15"/>
      <c r="D263" s="233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1:19" ht="12.75" customHeight="1">
      <c r="A264" s="80"/>
      <c r="B264" s="90"/>
      <c r="C264" s="15"/>
      <c r="D264" s="233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1:19" ht="12.75" customHeight="1">
      <c r="A265" s="80"/>
      <c r="B265" s="90"/>
      <c r="C265" s="15"/>
      <c r="D265" s="233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1:19" ht="12.75" customHeight="1">
      <c r="A266" s="80"/>
      <c r="B266" s="90"/>
      <c r="C266" s="15"/>
      <c r="D266" s="233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1:19" ht="12.75" customHeight="1">
      <c r="A267" s="80"/>
      <c r="B267" s="90"/>
      <c r="C267" s="15"/>
      <c r="D267" s="233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1:19" ht="12.75" customHeight="1">
      <c r="A268" s="80"/>
      <c r="B268" s="90"/>
      <c r="C268" s="15"/>
      <c r="D268" s="233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1:19" ht="12.75" customHeight="1">
      <c r="A269" s="80"/>
      <c r="B269" s="90"/>
      <c r="C269" s="15"/>
      <c r="D269" s="233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1:19" ht="12.75" customHeight="1">
      <c r="A270" s="80"/>
      <c r="B270" s="90"/>
      <c r="C270" s="15"/>
      <c r="D270" s="233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1:19" ht="12.75" customHeight="1">
      <c r="A271" s="80"/>
      <c r="B271" s="90"/>
      <c r="C271" s="15"/>
      <c r="D271" s="233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1:19" ht="12.75" customHeight="1">
      <c r="A272" s="80"/>
      <c r="B272" s="90"/>
      <c r="C272" s="15"/>
      <c r="D272" s="233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1:19" ht="12.75" customHeight="1">
      <c r="A273" s="80"/>
      <c r="B273" s="90"/>
      <c r="C273" s="15"/>
      <c r="D273" s="233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1:19" ht="12.75" customHeight="1">
      <c r="A274" s="80"/>
      <c r="B274" s="90"/>
      <c r="C274" s="15"/>
      <c r="D274" s="233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1:19" ht="12.75" customHeight="1">
      <c r="A275" s="80"/>
      <c r="B275" s="90"/>
      <c r="C275" s="15"/>
      <c r="D275" s="233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1:19" ht="12.75" customHeight="1">
      <c r="A276" s="80"/>
      <c r="B276" s="90"/>
      <c r="C276" s="15"/>
      <c r="D276" s="233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1:19" ht="12.75" customHeight="1">
      <c r="A277" s="80"/>
      <c r="B277" s="90"/>
      <c r="C277" s="15"/>
      <c r="D277" s="233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1:19" ht="12.75" customHeight="1">
      <c r="A278" s="80"/>
      <c r="B278" s="90"/>
      <c r="C278" s="15"/>
      <c r="D278" s="233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1:19" ht="12.75" customHeight="1">
      <c r="A279" s="80"/>
      <c r="B279" s="90"/>
      <c r="C279" s="15"/>
      <c r="D279" s="233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1:19" ht="12.75" customHeight="1">
      <c r="A280" s="80"/>
      <c r="B280" s="90"/>
      <c r="C280" s="15"/>
      <c r="D280" s="233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1:19" ht="12.75" customHeight="1">
      <c r="A281" s="80"/>
      <c r="B281" s="90"/>
      <c r="C281" s="15"/>
      <c r="D281" s="233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1:19" ht="12.75" customHeight="1">
      <c r="A282" s="80"/>
      <c r="B282" s="90"/>
      <c r="C282" s="15"/>
      <c r="D282" s="233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1:19" ht="12.75" customHeight="1">
      <c r="A283" s="80"/>
      <c r="B283" s="90"/>
      <c r="C283" s="15"/>
      <c r="D283" s="233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1:19" ht="12.75" customHeight="1">
      <c r="A284" s="80"/>
      <c r="B284" s="90"/>
      <c r="C284" s="15"/>
      <c r="D284" s="233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1:19" ht="12.75" customHeight="1">
      <c r="A285" s="80"/>
      <c r="B285" s="90"/>
      <c r="C285" s="15"/>
      <c r="D285" s="233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1:19" ht="12.75" customHeight="1">
      <c r="A286" s="80"/>
      <c r="B286" s="90"/>
      <c r="C286" s="15"/>
      <c r="D286" s="233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1:19" ht="12.75" customHeight="1">
      <c r="A287" s="80"/>
      <c r="B287" s="90"/>
      <c r="C287" s="15"/>
      <c r="D287" s="233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1:19" ht="12.75" customHeight="1">
      <c r="A288" s="80"/>
      <c r="B288" s="90"/>
      <c r="C288" s="15"/>
      <c r="D288" s="233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1:19" ht="12.75" customHeight="1">
      <c r="A289" s="80"/>
      <c r="B289" s="90"/>
      <c r="C289" s="15"/>
      <c r="D289" s="233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1:19" ht="12.75" customHeight="1">
      <c r="A290" s="80"/>
      <c r="B290" s="90"/>
      <c r="C290" s="15"/>
      <c r="D290" s="233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1:19" ht="12.75" customHeight="1">
      <c r="A291" s="80"/>
      <c r="B291" s="90"/>
      <c r="C291" s="15"/>
      <c r="D291" s="233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1:19" ht="12.75" customHeight="1">
      <c r="A292" s="80"/>
      <c r="B292" s="90"/>
      <c r="C292" s="15"/>
      <c r="D292" s="233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1:19" ht="12.75" customHeight="1">
      <c r="A293" s="80"/>
      <c r="B293" s="90"/>
      <c r="C293" s="15"/>
      <c r="D293" s="233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1:19" ht="12.75" customHeight="1">
      <c r="A294" s="80"/>
      <c r="B294" s="90"/>
      <c r="C294" s="15"/>
      <c r="D294" s="233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1:19" ht="12.75" customHeight="1">
      <c r="A295" s="80"/>
      <c r="B295" s="90"/>
      <c r="C295" s="15"/>
      <c r="D295" s="233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1:19" ht="12.75" customHeight="1">
      <c r="A296" s="80"/>
      <c r="B296" s="90"/>
      <c r="C296" s="15"/>
      <c r="D296" s="233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1:19" ht="12.75" customHeight="1">
      <c r="A297" s="80"/>
      <c r="B297" s="90"/>
      <c r="C297" s="15"/>
      <c r="D297" s="233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1:19" ht="12.75" customHeight="1">
      <c r="A298" s="80"/>
      <c r="B298" s="90"/>
      <c r="C298" s="15"/>
      <c r="D298" s="233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1:19" ht="12.75" customHeight="1">
      <c r="A299" s="80"/>
      <c r="B299" s="90"/>
      <c r="C299" s="15"/>
      <c r="D299" s="233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1:19" ht="12.75" customHeight="1">
      <c r="A300" s="80"/>
      <c r="B300" s="90"/>
      <c r="C300" s="15"/>
      <c r="D300" s="233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1:19" ht="12.75" customHeight="1">
      <c r="A301" s="80"/>
      <c r="B301" s="90"/>
      <c r="C301" s="15"/>
      <c r="D301" s="233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1:19" ht="12.75" customHeight="1">
      <c r="A302" s="80"/>
      <c r="B302" s="90"/>
      <c r="C302" s="15"/>
      <c r="D302" s="233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1:19" ht="12.75" customHeight="1">
      <c r="A303" s="80"/>
      <c r="B303" s="90"/>
      <c r="C303" s="15"/>
      <c r="D303" s="233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1:19" ht="12.75" customHeight="1">
      <c r="A304" s="80"/>
      <c r="B304" s="90"/>
      <c r="C304" s="15"/>
      <c r="D304" s="233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1:19" ht="12.75" customHeight="1">
      <c r="A305" s="80"/>
      <c r="B305" s="90"/>
      <c r="C305" s="15"/>
      <c r="D305" s="233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1:19" ht="12.75" customHeight="1">
      <c r="A306" s="80"/>
      <c r="B306" s="90"/>
      <c r="C306" s="15"/>
      <c r="D306" s="233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1:19" ht="12.75" customHeight="1">
      <c r="A307" s="80"/>
      <c r="B307" s="90"/>
      <c r="C307" s="15"/>
      <c r="D307" s="233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1:19" ht="12.75" customHeight="1">
      <c r="A308" s="80"/>
      <c r="B308" s="90"/>
      <c r="C308" s="15"/>
      <c r="D308" s="233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1:19" ht="12.75" customHeight="1">
      <c r="A309" s="80"/>
      <c r="B309" s="90"/>
      <c r="C309" s="15"/>
      <c r="D309" s="233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1:19" ht="12.75" customHeight="1">
      <c r="A310" s="80"/>
      <c r="B310" s="90"/>
      <c r="C310" s="15"/>
      <c r="D310" s="233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1:19" ht="12.75" customHeight="1">
      <c r="A311" s="80"/>
      <c r="B311" s="90"/>
      <c r="C311" s="15"/>
      <c r="D311" s="233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1:19" ht="12.75" customHeight="1">
      <c r="A312" s="80"/>
      <c r="B312" s="90"/>
      <c r="C312" s="15"/>
      <c r="D312" s="233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</row>
    <row r="313" spans="1:19" ht="12.75" customHeight="1">
      <c r="A313" s="80"/>
      <c r="B313" s="90"/>
      <c r="C313" s="15"/>
      <c r="D313" s="233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</row>
    <row r="314" spans="1:19" ht="12.75" customHeight="1">
      <c r="A314" s="80"/>
      <c r="B314" s="90"/>
      <c r="C314" s="15"/>
      <c r="D314" s="233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</row>
    <row r="315" spans="1:19" ht="12.75" customHeight="1">
      <c r="A315" s="80"/>
      <c r="B315" s="90"/>
      <c r="C315" s="15"/>
      <c r="D315" s="233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</row>
    <row r="316" spans="1:19" ht="12.75" customHeight="1">
      <c r="A316" s="80"/>
      <c r="B316" s="90"/>
      <c r="C316" s="15"/>
      <c r="D316" s="233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</row>
    <row r="317" spans="1:19" ht="12.75" customHeight="1">
      <c r="A317" s="80"/>
      <c r="B317" s="90"/>
      <c r="C317" s="15"/>
      <c r="D317" s="233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</row>
    <row r="318" spans="1:19" ht="12.75" customHeight="1"/>
    <row r="319" spans="1:19" ht="12.75" customHeight="1"/>
    <row r="320" spans="1:19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</sheetData>
  <autoFilter ref="A10:W67" xr:uid="{00000000-0009-0000-0000-000005000000}">
    <sortState ref="A12:W71">
      <sortCondition ref="A10:A88"/>
    </sortState>
  </autoFilter>
  <customSheetViews>
    <customSheetView guid="{75DD7674-E7DE-4BB1-A36D-76AA33452CB3}" scale="60" showAutoFilter="1" hiddenRows="1" hiddenColumns="1">
      <selection activeCell="C78" sqref="C78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70" xr:uid="{00000000-0000-0000-0000-000000000000}">
        <sortState ref="A12:W70">
          <sortCondition ref="A10:A87"/>
        </sortState>
      </autoFilter>
    </customSheetView>
    <customSheetView guid="{AEDE1BDB-8710-4CDA-8488-31F49D423ACE}" scale="60" filter="1" showAutoFilter="1" hiddenRows="1" hiddenColumns="1">
      <pane xSplit="3" ySplit="83" topLeftCell="S138" activePane="bottomRight" state="frozenSplit"/>
      <selection pane="bottomRight" activeCell="S153" sqref="S15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84" xr:uid="{00000000-0000-0000-0000-000000000000}">
        <filterColumn colId="18">
          <filters>
            <filter val="Inviable Sanitariamente"/>
          </filters>
        </filterColumn>
      </autoFilter>
    </customSheetView>
    <customSheetView guid="{FCC3B493-4306-43B2-9C73-76324485DD47}" scale="60" showAutoFilter="1" hiddenRows="1" hiddenColumns="1">
      <pane xSplit="4" ySplit="16" topLeftCell="E17" activePane="bottomRight" state="frozen"/>
      <selection pane="bottomRight" activeCell="A11" sqref="A11:A7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XFD70" xr:uid="{00000000-0000-0000-0000-000000000000}"/>
    </customSheetView>
    <customSheetView guid="{45C8AF51-29EC-46A5-AB7F-1F0634E55D82}" scale="60" showAutoFilter="1" hiddenRows="1" hiddenColumns="1" topLeftCell="A85">
      <pane ySplit="13.72" topLeftCell="A532"/>
      <selection activeCell="A101" sqref="A10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W70" xr:uid="{00000000-0000-0000-0000-000000000000}">
        <sortState ref="A12:W70">
          <sortCondition ref="A10:A87"/>
        </sortState>
      </autoFilter>
    </customSheetView>
  </customSheetViews>
  <mergeCells count="19">
    <mergeCell ref="C69:S70"/>
    <mergeCell ref="C9:C10"/>
    <mergeCell ref="A9:A10"/>
    <mergeCell ref="B9:B10"/>
    <mergeCell ref="D9:D10"/>
    <mergeCell ref="S9:S10"/>
    <mergeCell ref="E9:P9"/>
    <mergeCell ref="R9:R10"/>
    <mergeCell ref="Q9:Q10"/>
    <mergeCell ref="B1:D1"/>
    <mergeCell ref="B2:D2"/>
    <mergeCell ref="B3:D3"/>
    <mergeCell ref="E5:G6"/>
    <mergeCell ref="B5:C6"/>
    <mergeCell ref="H5:J6"/>
    <mergeCell ref="K5:M6"/>
    <mergeCell ref="N5:P6"/>
    <mergeCell ref="Q5:R6"/>
    <mergeCell ref="S5:S6"/>
  </mergeCells>
  <conditionalFormatting sqref="Q11:Q37 Q39:Q67">
    <cfRule type="containsBlanks" dxfId="4951" priority="1127" stopIfTrue="1">
      <formula>LEN(TRIM(Q11))=0</formula>
    </cfRule>
    <cfRule type="cellIs" dxfId="4950" priority="1128" stopIfTrue="1" operator="between">
      <formula>80.1</formula>
      <formula>100</formula>
    </cfRule>
    <cfRule type="cellIs" dxfId="4949" priority="1129" stopIfTrue="1" operator="between">
      <formula>35.1</formula>
      <formula>80</formula>
    </cfRule>
    <cfRule type="cellIs" dxfId="4948" priority="1130" stopIfTrue="1" operator="between">
      <formula>14.1</formula>
      <formula>35</formula>
    </cfRule>
    <cfRule type="cellIs" dxfId="4947" priority="1131" stopIfTrue="1" operator="between">
      <formula>5.1</formula>
      <formula>14</formula>
    </cfRule>
    <cfRule type="cellIs" dxfId="4946" priority="1132" stopIfTrue="1" operator="between">
      <formula>0</formula>
      <formula>5</formula>
    </cfRule>
    <cfRule type="containsBlanks" dxfId="4945" priority="1133" stopIfTrue="1">
      <formula>LEN(TRIM(Q11))=0</formula>
    </cfRule>
  </conditionalFormatting>
  <conditionalFormatting sqref="R19:R26 R11:R15">
    <cfRule type="cellIs" dxfId="4944" priority="607" stopIfTrue="1" operator="equal">
      <formula>"NO"</formula>
    </cfRule>
  </conditionalFormatting>
  <conditionalFormatting sqref="R16">
    <cfRule type="cellIs" dxfId="4943" priority="417" stopIfTrue="1" operator="equal">
      <formula>"NO"</formula>
    </cfRule>
  </conditionalFormatting>
  <conditionalFormatting sqref="Q16:Q17">
    <cfRule type="containsBlanks" dxfId="4942" priority="410" stopIfTrue="1">
      <formula>LEN(TRIM(Q16))=0</formula>
    </cfRule>
    <cfRule type="cellIs" dxfId="4941" priority="411" stopIfTrue="1" operator="between">
      <formula>80.1</formula>
      <formula>100</formula>
    </cfRule>
    <cfRule type="cellIs" dxfId="4940" priority="412" stopIfTrue="1" operator="between">
      <formula>35.1</formula>
      <formula>80</formula>
    </cfRule>
    <cfRule type="cellIs" dxfId="4939" priority="413" stopIfTrue="1" operator="between">
      <formula>14.1</formula>
      <formula>35</formula>
    </cfRule>
    <cfRule type="cellIs" dxfId="4938" priority="414" stopIfTrue="1" operator="between">
      <formula>5.1</formula>
      <formula>14</formula>
    </cfRule>
    <cfRule type="cellIs" dxfId="4937" priority="415" stopIfTrue="1" operator="between">
      <formula>0</formula>
      <formula>5</formula>
    </cfRule>
    <cfRule type="containsBlanks" dxfId="4936" priority="416" stopIfTrue="1">
      <formula>LEN(TRIM(Q16))=0</formula>
    </cfRule>
  </conditionalFormatting>
  <conditionalFormatting sqref="R18">
    <cfRule type="cellIs" dxfId="4935" priority="402" stopIfTrue="1" operator="equal">
      <formula>"NO"</formula>
    </cfRule>
  </conditionalFormatting>
  <conditionalFormatting sqref="R17">
    <cfRule type="cellIs" dxfId="4934" priority="394" stopIfTrue="1" operator="equal">
      <formula>"NO"</formula>
    </cfRule>
  </conditionalFormatting>
  <conditionalFormatting sqref="S11:S37 S39:S67">
    <cfRule type="cellIs" dxfId="4933" priority="189" stopIfTrue="1" operator="equal">
      <formula>"INVIABLE SANITARIAMENTE"</formula>
    </cfRule>
  </conditionalFormatting>
  <conditionalFormatting sqref="S11:S37 S39:S67">
    <cfRule type="containsText" dxfId="4932" priority="177" stopIfTrue="1" operator="containsText" text="INVIABLE SANITARIAMENTE">
      <formula>NOT(ISERROR(SEARCH("INVIABLE SANITARIAMENTE",S11)))</formula>
    </cfRule>
    <cfRule type="containsText" dxfId="4931" priority="178" stopIfTrue="1" operator="containsText" text="ALTO">
      <formula>NOT(ISERROR(SEARCH("ALTO",S11)))</formula>
    </cfRule>
    <cfRule type="containsText" dxfId="4930" priority="179" stopIfTrue="1" operator="containsText" text="MEDIO">
      <formula>NOT(ISERROR(SEARCH("MEDIO",S11)))</formula>
    </cfRule>
    <cfRule type="containsText" dxfId="4929" priority="180" stopIfTrue="1" operator="containsText" text="BAJO">
      <formula>NOT(ISERROR(SEARCH("BAJO",S11)))</formula>
    </cfRule>
    <cfRule type="containsText" dxfId="4928" priority="181" stopIfTrue="1" operator="containsText" text="SIN RIESGO">
      <formula>NOT(ISERROR(SEARCH("SIN RIESGO",S11)))</formula>
    </cfRule>
  </conditionalFormatting>
  <conditionalFormatting sqref="S11:S37 S39:S67">
    <cfRule type="containsText" dxfId="4927" priority="176" stopIfTrue="1" operator="containsText" text="SIN RIESGO">
      <formula>NOT(ISERROR(SEARCH("SIN RIESGO",S11)))</formula>
    </cfRule>
  </conditionalFormatting>
  <conditionalFormatting sqref="E18:P18 E22:P22 E27:P27 E50:P67 E46:P48 E40:P44">
    <cfRule type="containsBlanks" dxfId="4926" priority="169" stopIfTrue="1">
      <formula>LEN(TRIM(E18))=0</formula>
    </cfRule>
    <cfRule type="cellIs" dxfId="4925" priority="170" stopIfTrue="1" operator="between">
      <formula>79.1</formula>
      <formula>100</formula>
    </cfRule>
    <cfRule type="cellIs" dxfId="4924" priority="171" stopIfTrue="1" operator="between">
      <formula>34.1</formula>
      <formula>79</formula>
    </cfRule>
    <cfRule type="cellIs" dxfId="4923" priority="172" stopIfTrue="1" operator="between">
      <formula>13.1</formula>
      <formula>34</formula>
    </cfRule>
    <cfRule type="cellIs" dxfId="4922" priority="173" stopIfTrue="1" operator="between">
      <formula>5.1</formula>
      <formula>13</formula>
    </cfRule>
    <cfRule type="cellIs" dxfId="4921" priority="174" stopIfTrue="1" operator="between">
      <formula>0</formula>
      <formula>5</formula>
    </cfRule>
    <cfRule type="containsBlanks" dxfId="4920" priority="175" stopIfTrue="1">
      <formula>LEN(TRIM(E18))=0</formula>
    </cfRule>
  </conditionalFormatting>
  <conditionalFormatting sqref="Q38">
    <cfRule type="containsBlanks" dxfId="4919" priority="162" stopIfTrue="1">
      <formula>LEN(TRIM(Q38))=0</formula>
    </cfRule>
    <cfRule type="cellIs" dxfId="4918" priority="163" stopIfTrue="1" operator="between">
      <formula>80.1</formula>
      <formula>100</formula>
    </cfRule>
    <cfRule type="cellIs" dxfId="4917" priority="164" stopIfTrue="1" operator="between">
      <formula>35.1</formula>
      <formula>80</formula>
    </cfRule>
    <cfRule type="cellIs" dxfId="4916" priority="165" stopIfTrue="1" operator="between">
      <formula>14.1</formula>
      <formula>35</formula>
    </cfRule>
    <cfRule type="cellIs" dxfId="4915" priority="166" stopIfTrue="1" operator="between">
      <formula>5.1</formula>
      <formula>14</formula>
    </cfRule>
    <cfRule type="cellIs" dxfId="4914" priority="167" stopIfTrue="1" operator="between">
      <formula>0</formula>
      <formula>5</formula>
    </cfRule>
    <cfRule type="containsBlanks" dxfId="4913" priority="168" stopIfTrue="1">
      <formula>LEN(TRIM(Q38))=0</formula>
    </cfRule>
  </conditionalFormatting>
  <conditionalFormatting sqref="S38">
    <cfRule type="cellIs" dxfId="4912" priority="161" stopIfTrue="1" operator="equal">
      <formula>"INVIABLE SANITARIAMENTE"</formula>
    </cfRule>
  </conditionalFormatting>
  <conditionalFormatting sqref="S38">
    <cfRule type="containsText" dxfId="4911" priority="156" stopIfTrue="1" operator="containsText" text="INVIABLE SANITARIAMENTE">
      <formula>NOT(ISERROR(SEARCH("INVIABLE SANITARIAMENTE",S38)))</formula>
    </cfRule>
    <cfRule type="containsText" dxfId="4910" priority="157" stopIfTrue="1" operator="containsText" text="ALTO">
      <formula>NOT(ISERROR(SEARCH("ALTO",S38)))</formula>
    </cfRule>
    <cfRule type="containsText" dxfId="4909" priority="158" stopIfTrue="1" operator="containsText" text="MEDIO">
      <formula>NOT(ISERROR(SEARCH("MEDIO",S38)))</formula>
    </cfRule>
    <cfRule type="containsText" dxfId="4908" priority="159" stopIfTrue="1" operator="containsText" text="BAJO">
      <formula>NOT(ISERROR(SEARCH("BAJO",S38)))</formula>
    </cfRule>
    <cfRule type="containsText" dxfId="4907" priority="160" stopIfTrue="1" operator="containsText" text="SIN RIESGO">
      <formula>NOT(ISERROR(SEARCH("SIN RIESGO",S38)))</formula>
    </cfRule>
  </conditionalFormatting>
  <conditionalFormatting sqref="S38">
    <cfRule type="containsText" dxfId="4906" priority="155" stopIfTrue="1" operator="containsText" text="SIN RIESGO">
      <formula>NOT(ISERROR(SEARCH("SIN RIESGO",S38)))</formula>
    </cfRule>
  </conditionalFormatting>
  <conditionalFormatting sqref="E12:P12">
    <cfRule type="containsBlanks" dxfId="4905" priority="141" stopIfTrue="1">
      <formula>LEN(TRIM(E12))=0</formula>
    </cfRule>
    <cfRule type="cellIs" dxfId="4904" priority="142" stopIfTrue="1" operator="between">
      <formula>80.1</formula>
      <formula>100</formula>
    </cfRule>
    <cfRule type="cellIs" dxfId="4903" priority="143" stopIfTrue="1" operator="between">
      <formula>35.1</formula>
      <formula>80</formula>
    </cfRule>
    <cfRule type="cellIs" dxfId="4902" priority="144" stopIfTrue="1" operator="between">
      <formula>14.1</formula>
      <formula>35</formula>
    </cfRule>
    <cfRule type="cellIs" dxfId="4901" priority="145" stopIfTrue="1" operator="between">
      <formula>5.1</formula>
      <formula>14</formula>
    </cfRule>
    <cfRule type="cellIs" dxfId="4900" priority="146" stopIfTrue="1" operator="between">
      <formula>0</formula>
      <formula>5</formula>
    </cfRule>
    <cfRule type="containsBlanks" dxfId="4899" priority="147" stopIfTrue="1">
      <formula>LEN(TRIM(E12))=0</formula>
    </cfRule>
  </conditionalFormatting>
  <conditionalFormatting sqref="E13:P13">
    <cfRule type="containsBlanks" dxfId="4898" priority="134" stopIfTrue="1">
      <formula>LEN(TRIM(E13))=0</formula>
    </cfRule>
    <cfRule type="cellIs" dxfId="4897" priority="135" stopIfTrue="1" operator="between">
      <formula>80.1</formula>
      <formula>100</formula>
    </cfRule>
    <cfRule type="cellIs" dxfId="4896" priority="136" stopIfTrue="1" operator="between">
      <formula>35.1</formula>
      <formula>80</formula>
    </cfRule>
    <cfRule type="cellIs" dxfId="4895" priority="137" stopIfTrue="1" operator="between">
      <formula>14.1</formula>
      <formula>35</formula>
    </cfRule>
    <cfRule type="cellIs" dxfId="4894" priority="138" stopIfTrue="1" operator="between">
      <formula>5.1</formula>
      <formula>14</formula>
    </cfRule>
    <cfRule type="cellIs" dxfId="4893" priority="139" stopIfTrue="1" operator="between">
      <formula>0</formula>
      <formula>5</formula>
    </cfRule>
    <cfRule type="containsBlanks" dxfId="4892" priority="140" stopIfTrue="1">
      <formula>LEN(TRIM(E13))=0</formula>
    </cfRule>
  </conditionalFormatting>
  <conditionalFormatting sqref="E11:P11">
    <cfRule type="containsBlanks" dxfId="4891" priority="127" stopIfTrue="1">
      <formula>LEN(TRIM(E11))=0</formula>
    </cfRule>
    <cfRule type="cellIs" dxfId="4890" priority="128" stopIfTrue="1" operator="between">
      <formula>80.1</formula>
      <formula>100</formula>
    </cfRule>
    <cfRule type="cellIs" dxfId="4889" priority="129" stopIfTrue="1" operator="between">
      <formula>35.1</formula>
      <formula>80</formula>
    </cfRule>
    <cfRule type="cellIs" dxfId="4888" priority="130" stopIfTrue="1" operator="between">
      <formula>14.1</formula>
      <formula>35</formula>
    </cfRule>
    <cfRule type="cellIs" dxfId="4887" priority="131" stopIfTrue="1" operator="between">
      <formula>5.1</formula>
      <formula>14</formula>
    </cfRule>
    <cfRule type="cellIs" dxfId="4886" priority="132" stopIfTrue="1" operator="between">
      <formula>0</formula>
      <formula>5</formula>
    </cfRule>
    <cfRule type="containsBlanks" dxfId="4885" priority="133" stopIfTrue="1">
      <formula>LEN(TRIM(E11))=0</formula>
    </cfRule>
  </conditionalFormatting>
  <conditionalFormatting sqref="E14:P14">
    <cfRule type="containsBlanks" dxfId="4884" priority="120" stopIfTrue="1">
      <formula>LEN(TRIM(E14))=0</formula>
    </cfRule>
    <cfRule type="cellIs" dxfId="4883" priority="121" stopIfTrue="1" operator="between">
      <formula>80.1</formula>
      <formula>100</formula>
    </cfRule>
    <cfRule type="cellIs" dxfId="4882" priority="122" stopIfTrue="1" operator="between">
      <formula>35.1</formula>
      <formula>80</formula>
    </cfRule>
    <cfRule type="cellIs" dxfId="4881" priority="123" stopIfTrue="1" operator="between">
      <formula>14.1</formula>
      <formula>35</formula>
    </cfRule>
    <cfRule type="cellIs" dxfId="4880" priority="124" stopIfTrue="1" operator="between">
      <formula>5.1</formula>
      <formula>14</formula>
    </cfRule>
    <cfRule type="cellIs" dxfId="4879" priority="125" stopIfTrue="1" operator="between">
      <formula>0</formula>
      <formula>5</formula>
    </cfRule>
    <cfRule type="containsBlanks" dxfId="4878" priority="126" stopIfTrue="1">
      <formula>LEN(TRIM(E14))=0</formula>
    </cfRule>
  </conditionalFormatting>
  <conditionalFormatting sqref="E15:P15">
    <cfRule type="containsBlanks" dxfId="4877" priority="113" stopIfTrue="1">
      <formula>LEN(TRIM(E15))=0</formula>
    </cfRule>
    <cfRule type="cellIs" dxfId="4876" priority="114" stopIfTrue="1" operator="between">
      <formula>80.1</formula>
      <formula>100</formula>
    </cfRule>
    <cfRule type="cellIs" dxfId="4875" priority="115" stopIfTrue="1" operator="between">
      <formula>35.1</formula>
      <formula>80</formula>
    </cfRule>
    <cfRule type="cellIs" dxfId="4874" priority="116" stopIfTrue="1" operator="between">
      <formula>14.1</formula>
      <formula>35</formula>
    </cfRule>
    <cfRule type="cellIs" dxfId="4873" priority="117" stopIfTrue="1" operator="between">
      <formula>5.1</formula>
      <formula>14</formula>
    </cfRule>
    <cfRule type="cellIs" dxfId="4872" priority="118" stopIfTrue="1" operator="between">
      <formula>0</formula>
      <formula>5</formula>
    </cfRule>
    <cfRule type="containsBlanks" dxfId="4871" priority="119" stopIfTrue="1">
      <formula>LEN(TRIM(E15))=0</formula>
    </cfRule>
  </conditionalFormatting>
  <conditionalFormatting sqref="E16:P16">
    <cfRule type="containsBlanks" dxfId="4870" priority="106" stopIfTrue="1">
      <formula>LEN(TRIM(E16))=0</formula>
    </cfRule>
    <cfRule type="cellIs" dxfId="4869" priority="107" stopIfTrue="1" operator="between">
      <formula>80.1</formula>
      <formula>100</formula>
    </cfRule>
    <cfRule type="cellIs" dxfId="4868" priority="108" stopIfTrue="1" operator="between">
      <formula>35.1</formula>
      <formula>80</formula>
    </cfRule>
    <cfRule type="cellIs" dxfId="4867" priority="109" stopIfTrue="1" operator="between">
      <formula>14.1</formula>
      <formula>35</formula>
    </cfRule>
    <cfRule type="cellIs" dxfId="4866" priority="110" stopIfTrue="1" operator="between">
      <formula>5.1</formula>
      <formula>14</formula>
    </cfRule>
    <cfRule type="cellIs" dxfId="4865" priority="111" stopIfTrue="1" operator="between">
      <formula>0</formula>
      <formula>5</formula>
    </cfRule>
    <cfRule type="containsBlanks" dxfId="4864" priority="112" stopIfTrue="1">
      <formula>LEN(TRIM(E16))=0</formula>
    </cfRule>
  </conditionalFormatting>
  <conditionalFormatting sqref="E17:P17">
    <cfRule type="containsBlanks" dxfId="4863" priority="99" stopIfTrue="1">
      <formula>LEN(TRIM(E17))=0</formula>
    </cfRule>
    <cfRule type="cellIs" dxfId="4862" priority="100" stopIfTrue="1" operator="between">
      <formula>80.1</formula>
      <formula>100</formula>
    </cfRule>
    <cfRule type="cellIs" dxfId="4861" priority="101" stopIfTrue="1" operator="between">
      <formula>35.1</formula>
      <formula>80</formula>
    </cfRule>
    <cfRule type="cellIs" dxfId="4860" priority="102" stopIfTrue="1" operator="between">
      <formula>14.1</formula>
      <formula>35</formula>
    </cfRule>
    <cfRule type="cellIs" dxfId="4859" priority="103" stopIfTrue="1" operator="between">
      <formula>5.1</formula>
      <formula>14</formula>
    </cfRule>
    <cfRule type="cellIs" dxfId="4858" priority="104" stopIfTrue="1" operator="between">
      <formula>0</formula>
      <formula>5</formula>
    </cfRule>
    <cfRule type="containsBlanks" dxfId="4857" priority="105" stopIfTrue="1">
      <formula>LEN(TRIM(E17))=0</formula>
    </cfRule>
  </conditionalFormatting>
  <conditionalFormatting sqref="E19:P19">
    <cfRule type="containsBlanks" dxfId="4856" priority="92" stopIfTrue="1">
      <formula>LEN(TRIM(E19))=0</formula>
    </cfRule>
    <cfRule type="cellIs" dxfId="4855" priority="93" stopIfTrue="1" operator="between">
      <formula>80.1</formula>
      <formula>100</formula>
    </cfRule>
    <cfRule type="cellIs" dxfId="4854" priority="94" stopIfTrue="1" operator="between">
      <formula>35.1</formula>
      <formula>80</formula>
    </cfRule>
    <cfRule type="cellIs" dxfId="4853" priority="95" stopIfTrue="1" operator="between">
      <formula>14.1</formula>
      <formula>35</formula>
    </cfRule>
    <cfRule type="cellIs" dxfId="4852" priority="96" stopIfTrue="1" operator="between">
      <formula>5.1</formula>
      <formula>14</formula>
    </cfRule>
    <cfRule type="cellIs" dxfId="4851" priority="97" stopIfTrue="1" operator="between">
      <formula>0</formula>
      <formula>5</formula>
    </cfRule>
    <cfRule type="containsBlanks" dxfId="4850" priority="98" stopIfTrue="1">
      <formula>LEN(TRIM(E19))=0</formula>
    </cfRule>
  </conditionalFormatting>
  <conditionalFormatting sqref="E20:P20">
    <cfRule type="containsBlanks" dxfId="4849" priority="85" stopIfTrue="1">
      <formula>LEN(TRIM(E20))=0</formula>
    </cfRule>
    <cfRule type="cellIs" dxfId="4848" priority="86" stopIfTrue="1" operator="between">
      <formula>80.1</formula>
      <formula>100</formula>
    </cfRule>
    <cfRule type="cellIs" dxfId="4847" priority="87" stopIfTrue="1" operator="between">
      <formula>35.1</formula>
      <formula>80</formula>
    </cfRule>
    <cfRule type="cellIs" dxfId="4846" priority="88" stopIfTrue="1" operator="between">
      <formula>14.1</formula>
      <formula>35</formula>
    </cfRule>
    <cfRule type="cellIs" dxfId="4845" priority="89" stopIfTrue="1" operator="between">
      <formula>5.1</formula>
      <formula>14</formula>
    </cfRule>
    <cfRule type="cellIs" dxfId="4844" priority="90" stopIfTrue="1" operator="between">
      <formula>0</formula>
      <formula>5</formula>
    </cfRule>
    <cfRule type="containsBlanks" dxfId="4843" priority="91" stopIfTrue="1">
      <formula>LEN(TRIM(E20))=0</formula>
    </cfRule>
  </conditionalFormatting>
  <conditionalFormatting sqref="E24:P26">
    <cfRule type="containsBlanks" dxfId="4842" priority="64" stopIfTrue="1">
      <formula>LEN(TRIM(E24))=0</formula>
    </cfRule>
    <cfRule type="cellIs" dxfId="4841" priority="65" stopIfTrue="1" operator="between">
      <formula>80.1</formula>
      <formula>100</formula>
    </cfRule>
    <cfRule type="cellIs" dxfId="4840" priority="66" stopIfTrue="1" operator="between">
      <formula>35.1</formula>
      <formula>80</formula>
    </cfRule>
    <cfRule type="cellIs" dxfId="4839" priority="67" stopIfTrue="1" operator="between">
      <formula>14.1</formula>
      <formula>35</formula>
    </cfRule>
    <cfRule type="cellIs" dxfId="4838" priority="68" stopIfTrue="1" operator="between">
      <formula>5.1</formula>
      <formula>14</formula>
    </cfRule>
    <cfRule type="cellIs" dxfId="4837" priority="69" stopIfTrue="1" operator="between">
      <formula>0</formula>
      <formula>5</formula>
    </cfRule>
    <cfRule type="containsBlanks" dxfId="4836" priority="70" stopIfTrue="1">
      <formula>LEN(TRIM(E24))=0</formula>
    </cfRule>
  </conditionalFormatting>
  <conditionalFormatting sqref="E21:P21">
    <cfRule type="containsBlanks" dxfId="4835" priority="78" stopIfTrue="1">
      <formula>LEN(TRIM(E21))=0</formula>
    </cfRule>
    <cfRule type="cellIs" dxfId="4834" priority="79" stopIfTrue="1" operator="between">
      <formula>80.1</formula>
      <formula>100</formula>
    </cfRule>
    <cfRule type="cellIs" dxfId="4833" priority="80" stopIfTrue="1" operator="between">
      <formula>35.1</formula>
      <formula>80</formula>
    </cfRule>
    <cfRule type="cellIs" dxfId="4832" priority="81" stopIfTrue="1" operator="between">
      <formula>14.1</formula>
      <formula>35</formula>
    </cfRule>
    <cfRule type="cellIs" dxfId="4831" priority="82" stopIfTrue="1" operator="between">
      <formula>5.1</formula>
      <formula>14</formula>
    </cfRule>
    <cfRule type="cellIs" dxfId="4830" priority="83" stopIfTrue="1" operator="between">
      <formula>0</formula>
      <formula>5</formula>
    </cfRule>
    <cfRule type="containsBlanks" dxfId="4829" priority="84" stopIfTrue="1">
      <formula>LEN(TRIM(E21))=0</formula>
    </cfRule>
  </conditionalFormatting>
  <conditionalFormatting sqref="E23:P23">
    <cfRule type="containsBlanks" dxfId="4828" priority="71" stopIfTrue="1">
      <formula>LEN(TRIM(E23))=0</formula>
    </cfRule>
    <cfRule type="cellIs" dxfId="4827" priority="72" stopIfTrue="1" operator="between">
      <formula>80.1</formula>
      <formula>100</formula>
    </cfRule>
    <cfRule type="cellIs" dxfId="4826" priority="73" stopIfTrue="1" operator="between">
      <formula>35.1</formula>
      <formula>80</formula>
    </cfRule>
    <cfRule type="cellIs" dxfId="4825" priority="74" stopIfTrue="1" operator="between">
      <formula>14.1</formula>
      <formula>35</formula>
    </cfRule>
    <cfRule type="cellIs" dxfId="4824" priority="75" stopIfTrue="1" operator="between">
      <formula>5.1</formula>
      <formula>14</formula>
    </cfRule>
    <cfRule type="cellIs" dxfId="4823" priority="76" stopIfTrue="1" operator="between">
      <formula>0</formula>
      <formula>5</formula>
    </cfRule>
    <cfRule type="containsBlanks" dxfId="4822" priority="77" stopIfTrue="1">
      <formula>LEN(TRIM(E23))=0</formula>
    </cfRule>
  </conditionalFormatting>
  <conditionalFormatting sqref="E28:P33">
    <cfRule type="containsBlanks" dxfId="4821" priority="57" stopIfTrue="1">
      <formula>LEN(TRIM(E28))=0</formula>
    </cfRule>
    <cfRule type="cellIs" dxfId="4820" priority="58" stopIfTrue="1" operator="between">
      <formula>80.1</formula>
      <formula>100</formula>
    </cfRule>
    <cfRule type="cellIs" dxfId="4819" priority="59" stopIfTrue="1" operator="between">
      <formula>35.1</formula>
      <formula>80</formula>
    </cfRule>
    <cfRule type="cellIs" dxfId="4818" priority="60" stopIfTrue="1" operator="between">
      <formula>14.1</formula>
      <formula>35</formula>
    </cfRule>
    <cfRule type="cellIs" dxfId="4817" priority="61" stopIfTrue="1" operator="between">
      <formula>5.1</formula>
      <formula>14</formula>
    </cfRule>
    <cfRule type="cellIs" dxfId="4816" priority="62" stopIfTrue="1" operator="between">
      <formula>0</formula>
      <formula>5</formula>
    </cfRule>
    <cfRule type="containsBlanks" dxfId="4815" priority="63" stopIfTrue="1">
      <formula>LEN(TRIM(E28))=0</formula>
    </cfRule>
  </conditionalFormatting>
  <conditionalFormatting sqref="E35:P36">
    <cfRule type="containsBlanks" dxfId="4814" priority="50" stopIfTrue="1">
      <formula>LEN(TRIM(E35))=0</formula>
    </cfRule>
    <cfRule type="cellIs" dxfId="4813" priority="51" stopIfTrue="1" operator="between">
      <formula>80.1</formula>
      <formula>100</formula>
    </cfRule>
    <cfRule type="cellIs" dxfId="4812" priority="52" stopIfTrue="1" operator="between">
      <formula>35.1</formula>
      <formula>80</formula>
    </cfRule>
    <cfRule type="cellIs" dxfId="4811" priority="53" stopIfTrue="1" operator="between">
      <formula>14.1</formula>
      <formula>35</formula>
    </cfRule>
    <cfRule type="cellIs" dxfId="4810" priority="54" stopIfTrue="1" operator="between">
      <formula>5.1</formula>
      <formula>14</formula>
    </cfRule>
    <cfRule type="cellIs" dxfId="4809" priority="55" stopIfTrue="1" operator="between">
      <formula>0</formula>
      <formula>5</formula>
    </cfRule>
    <cfRule type="containsBlanks" dxfId="4808" priority="56" stopIfTrue="1">
      <formula>LEN(TRIM(E35))=0</formula>
    </cfRule>
  </conditionalFormatting>
  <conditionalFormatting sqref="E34:P34">
    <cfRule type="containsBlanks" dxfId="4807" priority="43" stopIfTrue="1">
      <formula>LEN(TRIM(E34))=0</formula>
    </cfRule>
    <cfRule type="cellIs" dxfId="4806" priority="44" stopIfTrue="1" operator="between">
      <formula>80.1</formula>
      <formula>100</formula>
    </cfRule>
    <cfRule type="cellIs" dxfId="4805" priority="45" stopIfTrue="1" operator="between">
      <formula>35.1</formula>
      <formula>80</formula>
    </cfRule>
    <cfRule type="cellIs" dxfId="4804" priority="46" stopIfTrue="1" operator="between">
      <formula>14.1</formula>
      <formula>35</formula>
    </cfRule>
    <cfRule type="cellIs" dxfId="4803" priority="47" stopIfTrue="1" operator="between">
      <formula>5.1</formula>
      <formula>14</formula>
    </cfRule>
    <cfRule type="cellIs" dxfId="4802" priority="48" stopIfTrue="1" operator="between">
      <formula>0</formula>
      <formula>5</formula>
    </cfRule>
    <cfRule type="containsBlanks" dxfId="4801" priority="49" stopIfTrue="1">
      <formula>LEN(TRIM(E34))=0</formula>
    </cfRule>
  </conditionalFormatting>
  <conditionalFormatting sqref="E49:P49">
    <cfRule type="containsBlanks" dxfId="4800" priority="8" stopIfTrue="1">
      <formula>LEN(TRIM(E49))=0</formula>
    </cfRule>
    <cfRule type="cellIs" dxfId="4799" priority="9" stopIfTrue="1" operator="between">
      <formula>80.1</formula>
      <formula>100</formula>
    </cfRule>
    <cfRule type="cellIs" dxfId="4798" priority="10" stopIfTrue="1" operator="between">
      <formula>35.1</formula>
      <formula>80</formula>
    </cfRule>
    <cfRule type="cellIs" dxfId="4797" priority="11" stopIfTrue="1" operator="between">
      <formula>14.1</formula>
      <formula>35</formula>
    </cfRule>
    <cfRule type="cellIs" dxfId="4796" priority="12" stopIfTrue="1" operator="between">
      <formula>5.1</formula>
      <formula>14</formula>
    </cfRule>
    <cfRule type="cellIs" dxfId="4795" priority="13" stopIfTrue="1" operator="between">
      <formula>0</formula>
      <formula>5</formula>
    </cfRule>
    <cfRule type="containsBlanks" dxfId="4794" priority="14" stopIfTrue="1">
      <formula>LEN(TRIM(E49))=0</formula>
    </cfRule>
  </conditionalFormatting>
  <conditionalFormatting sqref="E37:P37">
    <cfRule type="containsBlanks" dxfId="4793" priority="29" stopIfTrue="1">
      <formula>LEN(TRIM(E37))=0</formula>
    </cfRule>
    <cfRule type="cellIs" dxfId="4792" priority="30" stopIfTrue="1" operator="between">
      <formula>80.1</formula>
      <formula>100</formula>
    </cfRule>
    <cfRule type="cellIs" dxfId="4791" priority="31" stopIfTrue="1" operator="between">
      <formula>35.1</formula>
      <formula>80</formula>
    </cfRule>
    <cfRule type="cellIs" dxfId="4790" priority="32" stopIfTrue="1" operator="between">
      <formula>14.1</formula>
      <formula>35</formula>
    </cfRule>
    <cfRule type="cellIs" dxfId="4789" priority="33" stopIfTrue="1" operator="between">
      <formula>5.1</formula>
      <formula>14</formula>
    </cfRule>
    <cfRule type="cellIs" dxfId="4788" priority="34" stopIfTrue="1" operator="between">
      <formula>0</formula>
      <formula>5</formula>
    </cfRule>
    <cfRule type="containsBlanks" dxfId="4787" priority="35" stopIfTrue="1">
      <formula>LEN(TRIM(E37))=0</formula>
    </cfRule>
  </conditionalFormatting>
  <conditionalFormatting sqref="E39:P39">
    <cfRule type="containsBlanks" dxfId="4786" priority="22" stopIfTrue="1">
      <formula>LEN(TRIM(E39))=0</formula>
    </cfRule>
    <cfRule type="cellIs" dxfId="4785" priority="23" stopIfTrue="1" operator="between">
      <formula>80.1</formula>
      <formula>100</formula>
    </cfRule>
    <cfRule type="cellIs" dxfId="4784" priority="24" stopIfTrue="1" operator="between">
      <formula>35.1</formula>
      <formula>80</formula>
    </cfRule>
    <cfRule type="cellIs" dxfId="4783" priority="25" stopIfTrue="1" operator="between">
      <formula>14.1</formula>
      <formula>35</formula>
    </cfRule>
    <cfRule type="cellIs" dxfId="4782" priority="26" stopIfTrue="1" operator="between">
      <formula>5.1</formula>
      <formula>14</formula>
    </cfRule>
    <cfRule type="cellIs" dxfId="4781" priority="27" stopIfTrue="1" operator="between">
      <formula>0</formula>
      <formula>5</formula>
    </cfRule>
    <cfRule type="containsBlanks" dxfId="4780" priority="28" stopIfTrue="1">
      <formula>LEN(TRIM(E39))=0</formula>
    </cfRule>
  </conditionalFormatting>
  <conditionalFormatting sqref="E38:P38">
    <cfRule type="containsBlanks" dxfId="4779" priority="15" stopIfTrue="1">
      <formula>LEN(TRIM(E38))=0</formula>
    </cfRule>
    <cfRule type="cellIs" dxfId="4778" priority="16" stopIfTrue="1" operator="between">
      <formula>80.1</formula>
      <formula>100</formula>
    </cfRule>
    <cfRule type="cellIs" dxfId="4777" priority="17" stopIfTrue="1" operator="between">
      <formula>35.1</formula>
      <formula>80</formula>
    </cfRule>
    <cfRule type="cellIs" dxfId="4776" priority="18" stopIfTrue="1" operator="between">
      <formula>14.1</formula>
      <formula>35</formula>
    </cfRule>
    <cfRule type="cellIs" dxfId="4775" priority="19" stopIfTrue="1" operator="between">
      <formula>5.1</formula>
      <formula>14</formula>
    </cfRule>
    <cfRule type="cellIs" dxfId="4774" priority="20" stopIfTrue="1" operator="between">
      <formula>0</formula>
      <formula>5</formula>
    </cfRule>
    <cfRule type="containsBlanks" dxfId="4773" priority="21" stopIfTrue="1">
      <formula>LEN(TRIM(E38))=0</formula>
    </cfRule>
  </conditionalFormatting>
  <conditionalFormatting sqref="E45:P45">
    <cfRule type="containsBlanks" dxfId="4772" priority="1" stopIfTrue="1">
      <formula>LEN(TRIM(E45))=0</formula>
    </cfRule>
    <cfRule type="cellIs" dxfId="4771" priority="2" stopIfTrue="1" operator="between">
      <formula>80.1</formula>
      <formula>100</formula>
    </cfRule>
    <cfRule type="cellIs" dxfId="4770" priority="3" stopIfTrue="1" operator="between">
      <formula>35.1</formula>
      <formula>80</formula>
    </cfRule>
    <cfRule type="cellIs" dxfId="4769" priority="4" stopIfTrue="1" operator="between">
      <formula>14.1</formula>
      <formula>35</formula>
    </cfRule>
    <cfRule type="cellIs" dxfId="4768" priority="5" stopIfTrue="1" operator="between">
      <formula>5.1</formula>
      <formula>14</formula>
    </cfRule>
    <cfRule type="cellIs" dxfId="4767" priority="6" stopIfTrue="1" operator="between">
      <formula>0</formula>
      <formula>5</formula>
    </cfRule>
    <cfRule type="containsBlanks" dxfId="4766" priority="7" stopIfTrue="1">
      <formula>LEN(TRIM(E45))=0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theme="0"/>
  </sheetPr>
  <dimension ref="A1:BR94"/>
  <sheetViews>
    <sheetView zoomScale="70" zoomScaleNormal="70"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B5" sqref="B5:C6"/>
    </sheetView>
  </sheetViews>
  <sheetFormatPr baseColWidth="10" defaultRowHeight="12.75"/>
  <cols>
    <col min="1" max="1" width="35.140625" style="34" customWidth="1"/>
    <col min="2" max="2" width="48.85546875" style="14" customWidth="1"/>
    <col min="3" max="3" width="59.42578125" style="14" customWidth="1"/>
    <col min="4" max="4" width="24.7109375" style="14" customWidth="1"/>
    <col min="5" max="18" width="10.7109375" style="13" customWidth="1"/>
    <col min="19" max="19" width="42.85546875" style="13" bestFit="1" customWidth="1"/>
    <col min="20" max="20" width="9.85546875" style="13" customWidth="1"/>
    <col min="21" max="16384" width="11.42578125" style="13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475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22.5" customHeight="1">
      <c r="A5" s="109"/>
      <c r="B5" s="694" t="s">
        <v>4477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6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32" customFormat="1" ht="6" customHeight="1">
      <c r="A7" s="697"/>
      <c r="B7" s="697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</row>
    <row r="8" spans="1:23" ht="19.5" customHeight="1">
      <c r="A8" s="392" t="s">
        <v>4345</v>
      </c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49"/>
      <c r="T8" s="15"/>
    </row>
    <row r="9" spans="1:23" ht="32.1" customHeight="1">
      <c r="A9" s="698" t="s">
        <v>37</v>
      </c>
      <c r="B9" s="696" t="s">
        <v>38</v>
      </c>
      <c r="C9" s="696" t="s">
        <v>254</v>
      </c>
      <c r="D9" s="715" t="s">
        <v>402</v>
      </c>
      <c r="E9" s="696" t="s">
        <v>33</v>
      </c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713" t="s">
        <v>34</v>
      </c>
      <c r="R9" s="713" t="s">
        <v>36</v>
      </c>
      <c r="S9" s="696" t="s">
        <v>35</v>
      </c>
      <c r="T9" s="15"/>
    </row>
    <row r="10" spans="1:23" ht="32.1" customHeight="1">
      <c r="A10" s="698"/>
      <c r="B10" s="696"/>
      <c r="C10" s="696"/>
      <c r="D10" s="716"/>
      <c r="E10" s="231" t="s">
        <v>21</v>
      </c>
      <c r="F10" s="231" t="s">
        <v>22</v>
      </c>
      <c r="G10" s="231" t="s">
        <v>23</v>
      </c>
      <c r="H10" s="231" t="s">
        <v>24</v>
      </c>
      <c r="I10" s="231" t="s">
        <v>25</v>
      </c>
      <c r="J10" s="231" t="s">
        <v>26</v>
      </c>
      <c r="K10" s="231" t="s">
        <v>27</v>
      </c>
      <c r="L10" s="231" t="s">
        <v>28</v>
      </c>
      <c r="M10" s="231" t="s">
        <v>29</v>
      </c>
      <c r="N10" s="231" t="s">
        <v>30</v>
      </c>
      <c r="O10" s="231" t="s">
        <v>31</v>
      </c>
      <c r="P10" s="231" t="s">
        <v>32</v>
      </c>
      <c r="Q10" s="713"/>
      <c r="R10" s="713"/>
      <c r="S10" s="696"/>
      <c r="T10" s="15"/>
    </row>
    <row r="11" spans="1:23" ht="32.1" customHeight="1">
      <c r="A11" s="452" t="s">
        <v>186</v>
      </c>
      <c r="B11" s="362" t="s">
        <v>1412</v>
      </c>
      <c r="C11" s="340" t="s">
        <v>3953</v>
      </c>
      <c r="D11" s="346">
        <v>200</v>
      </c>
      <c r="E11" s="47"/>
      <c r="F11" s="47"/>
      <c r="G11" s="47"/>
      <c r="H11" s="47"/>
      <c r="I11" s="47"/>
      <c r="J11" s="47"/>
      <c r="K11" s="47"/>
      <c r="L11" s="47"/>
      <c r="M11" s="47">
        <v>80</v>
      </c>
      <c r="N11" s="47"/>
      <c r="O11" s="47"/>
      <c r="P11" s="47"/>
      <c r="Q11" s="314">
        <f t="shared" ref="Q11:Q42" si="0">AVERAGE(E11:P11)</f>
        <v>80</v>
      </c>
      <c r="R11" s="315" t="str">
        <f t="shared" ref="R11:R42" si="1">IF(Q11&lt;5,"SI","NO")</f>
        <v>NO</v>
      </c>
      <c r="S11" s="316" t="str">
        <f t="shared" ref="S11:S42" si="2">IF(Q11&lt;=5,"Sin Riesgo",IF(Q11 &lt;=14,"Bajo",IF(Q11&lt;=35,"Medio",IF(Q11&lt;=80,"Alto","Inviable Sanitariamente"))))</f>
        <v>Alto</v>
      </c>
      <c r="T11" s="15"/>
    </row>
    <row r="12" spans="1:23" ht="32.1" customHeight="1">
      <c r="A12" s="452" t="s">
        <v>186</v>
      </c>
      <c r="B12" s="362" t="s">
        <v>1413</v>
      </c>
      <c r="C12" s="340" t="s">
        <v>3954</v>
      </c>
      <c r="D12" s="346">
        <v>100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90.9</v>
      </c>
      <c r="P12" s="47"/>
      <c r="Q12" s="358">
        <f t="shared" si="0"/>
        <v>90.9</v>
      </c>
      <c r="R12" s="331" t="str">
        <f t="shared" si="1"/>
        <v>NO</v>
      </c>
      <c r="S12" s="316" t="str">
        <f t="shared" si="2"/>
        <v>Inviable Sanitariamente</v>
      </c>
      <c r="T12" s="15"/>
    </row>
    <row r="13" spans="1:23" ht="32.1" customHeight="1">
      <c r="A13" s="452" t="s">
        <v>186</v>
      </c>
      <c r="B13" s="362" t="s">
        <v>1414</v>
      </c>
      <c r="C13" s="340" t="s">
        <v>3955</v>
      </c>
      <c r="D13" s="346">
        <v>240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>
        <v>90.9</v>
      </c>
      <c r="P13" s="47"/>
      <c r="Q13" s="358">
        <f t="shared" si="0"/>
        <v>90.9</v>
      </c>
      <c r="R13" s="331" t="str">
        <f t="shared" si="1"/>
        <v>NO</v>
      </c>
      <c r="S13" s="316" t="str">
        <f t="shared" si="2"/>
        <v>Inviable Sanitariamente</v>
      </c>
      <c r="T13" s="15"/>
    </row>
    <row r="14" spans="1:23" ht="32.1" customHeight="1">
      <c r="A14" s="452" t="s">
        <v>186</v>
      </c>
      <c r="B14" s="362" t="s">
        <v>1415</v>
      </c>
      <c r="C14" s="340" t="s">
        <v>3956</v>
      </c>
      <c r="D14" s="346">
        <v>80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>
        <v>90.9</v>
      </c>
      <c r="P14" s="47"/>
      <c r="Q14" s="358">
        <f t="shared" si="0"/>
        <v>90.9</v>
      </c>
      <c r="R14" s="331" t="str">
        <f t="shared" si="1"/>
        <v>NO</v>
      </c>
      <c r="S14" s="316" t="str">
        <f t="shared" si="2"/>
        <v>Inviable Sanitariamente</v>
      </c>
      <c r="T14" s="15"/>
    </row>
    <row r="15" spans="1:23" ht="32.1" customHeight="1">
      <c r="A15" s="597" t="s">
        <v>186</v>
      </c>
      <c r="B15" s="662" t="s">
        <v>1416</v>
      </c>
      <c r="C15" s="601" t="s">
        <v>3957</v>
      </c>
      <c r="D15" s="304">
        <v>9</v>
      </c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14"/>
      <c r="R15" s="315"/>
      <c r="S15" s="316"/>
      <c r="T15" s="15"/>
    </row>
    <row r="16" spans="1:23" ht="32.1" customHeight="1">
      <c r="A16" s="597" t="s">
        <v>186</v>
      </c>
      <c r="B16" s="662" t="s">
        <v>1417</v>
      </c>
      <c r="C16" s="601" t="s">
        <v>3958</v>
      </c>
      <c r="D16" s="304">
        <v>39</v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58"/>
      <c r="R16" s="331"/>
      <c r="S16" s="316"/>
      <c r="T16" s="15"/>
    </row>
    <row r="17" spans="1:32" ht="32.1" customHeight="1">
      <c r="A17" s="597" t="s">
        <v>186</v>
      </c>
      <c r="B17" s="662" t="s">
        <v>1418</v>
      </c>
      <c r="C17" s="601" t="s">
        <v>3959</v>
      </c>
      <c r="D17" s="304">
        <v>12</v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58"/>
      <c r="R17" s="331"/>
      <c r="S17" s="316"/>
      <c r="T17" s="15"/>
    </row>
    <row r="18" spans="1:32" ht="32.1" customHeight="1">
      <c r="A18" s="597" t="s">
        <v>186</v>
      </c>
      <c r="B18" s="662" t="s">
        <v>1419</v>
      </c>
      <c r="C18" s="601" t="s">
        <v>3960</v>
      </c>
      <c r="D18" s="304">
        <v>65</v>
      </c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58"/>
      <c r="R18" s="331"/>
      <c r="S18" s="316"/>
      <c r="T18" s="15"/>
    </row>
    <row r="19" spans="1:32" ht="32.1" customHeight="1">
      <c r="A19" s="597" t="s">
        <v>186</v>
      </c>
      <c r="B19" s="662" t="s">
        <v>1420</v>
      </c>
      <c r="C19" s="601" t="s">
        <v>3961</v>
      </c>
      <c r="D19" s="304">
        <v>8</v>
      </c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14"/>
      <c r="R19" s="315"/>
      <c r="S19" s="316"/>
      <c r="T19" s="16"/>
    </row>
    <row r="20" spans="1:32" ht="32.1" customHeight="1">
      <c r="A20" s="452" t="s">
        <v>187</v>
      </c>
      <c r="B20" s="344" t="s">
        <v>1421</v>
      </c>
      <c r="C20" s="340" t="s">
        <v>3962</v>
      </c>
      <c r="D20" s="346">
        <v>26</v>
      </c>
      <c r="E20" s="47"/>
      <c r="F20" s="47"/>
      <c r="G20" s="47"/>
      <c r="H20" s="47"/>
      <c r="I20" s="47"/>
      <c r="J20" s="47">
        <v>53.1</v>
      </c>
      <c r="K20" s="47"/>
      <c r="L20" s="47"/>
      <c r="M20" s="47"/>
      <c r="N20" s="47"/>
      <c r="O20" s="47"/>
      <c r="P20" s="47"/>
      <c r="Q20" s="358">
        <f t="shared" si="0"/>
        <v>53.1</v>
      </c>
      <c r="R20" s="331" t="str">
        <f t="shared" si="1"/>
        <v>NO</v>
      </c>
      <c r="S20" s="316" t="str">
        <f t="shared" si="2"/>
        <v>Alto</v>
      </c>
      <c r="T20" s="16"/>
    </row>
    <row r="21" spans="1:32" ht="32.1" customHeight="1">
      <c r="A21" s="452" t="s">
        <v>187</v>
      </c>
      <c r="B21" s="344" t="s">
        <v>1422</v>
      </c>
      <c r="C21" s="351" t="s">
        <v>4394</v>
      </c>
      <c r="D21" s="346">
        <v>348</v>
      </c>
      <c r="E21" s="47"/>
      <c r="F21" s="47"/>
      <c r="G21" s="47"/>
      <c r="H21" s="47"/>
      <c r="I21" s="47">
        <v>97.3</v>
      </c>
      <c r="J21" s="47"/>
      <c r="K21" s="47"/>
      <c r="L21" s="47"/>
      <c r="M21" s="47"/>
      <c r="N21" s="47"/>
      <c r="O21" s="47"/>
      <c r="P21" s="47"/>
      <c r="Q21" s="358">
        <f t="shared" si="0"/>
        <v>97.3</v>
      </c>
      <c r="R21" s="331" t="str">
        <f t="shared" si="1"/>
        <v>NO</v>
      </c>
      <c r="S21" s="316" t="str">
        <f t="shared" si="2"/>
        <v>Inviable Sanitariamente</v>
      </c>
      <c r="T21" s="16"/>
    </row>
    <row r="22" spans="1:32" ht="32.1" customHeight="1">
      <c r="A22" s="452" t="s">
        <v>187</v>
      </c>
      <c r="B22" s="344" t="s">
        <v>1423</v>
      </c>
      <c r="C22" s="344" t="s">
        <v>3963</v>
      </c>
      <c r="D22" s="346">
        <v>206</v>
      </c>
      <c r="E22" s="47"/>
      <c r="F22" s="47"/>
      <c r="G22" s="47"/>
      <c r="H22" s="47"/>
      <c r="I22" s="47"/>
      <c r="J22" s="47">
        <v>53.1</v>
      </c>
      <c r="K22" s="47"/>
      <c r="L22" s="47"/>
      <c r="M22" s="47"/>
      <c r="N22" s="47"/>
      <c r="O22" s="47"/>
      <c r="P22" s="47"/>
      <c r="Q22" s="358">
        <f t="shared" si="0"/>
        <v>53.1</v>
      </c>
      <c r="R22" s="331" t="str">
        <f t="shared" si="1"/>
        <v>NO</v>
      </c>
      <c r="S22" s="316" t="str">
        <f t="shared" si="2"/>
        <v>Alto</v>
      </c>
      <c r="T22" s="16"/>
    </row>
    <row r="23" spans="1:32" ht="32.1" customHeight="1">
      <c r="A23" s="467" t="s">
        <v>187</v>
      </c>
      <c r="B23" s="364" t="s">
        <v>1424</v>
      </c>
      <c r="C23" s="364" t="s">
        <v>3964</v>
      </c>
      <c r="D23" s="346">
        <v>120</v>
      </c>
      <c r="E23" s="47"/>
      <c r="F23" s="47"/>
      <c r="G23" s="47"/>
      <c r="H23" s="47"/>
      <c r="I23" s="47"/>
      <c r="J23" s="47"/>
      <c r="K23" s="47"/>
      <c r="L23" s="47"/>
      <c r="M23" s="47">
        <v>53.1</v>
      </c>
      <c r="N23" s="47"/>
      <c r="O23" s="47"/>
      <c r="P23" s="47"/>
      <c r="Q23" s="314">
        <f>AVERAGE(E23:P23)</f>
        <v>53.1</v>
      </c>
      <c r="R23" s="315" t="str">
        <f>IF(Q23&lt;5,"SI","NO")</f>
        <v>NO</v>
      </c>
      <c r="S23" s="316" t="str">
        <f>IF(Q23&lt;=5,"Sin Riesgo",IF(Q23 &lt;=14,"Bajo",IF(Q23&lt;=35,"Medio",IF(Q23&lt;=80,"Alto","Inviable Sanitariamente"))))</f>
        <v>Alto</v>
      </c>
      <c r="T23" s="16"/>
    </row>
    <row r="24" spans="1:32" s="76" customFormat="1" ht="32.1" customHeight="1">
      <c r="A24" s="452" t="s">
        <v>187</v>
      </c>
      <c r="B24" s="344" t="s">
        <v>1425</v>
      </c>
      <c r="C24" s="344" t="s">
        <v>3965</v>
      </c>
      <c r="D24" s="346">
        <v>38</v>
      </c>
      <c r="E24" s="47"/>
      <c r="F24" s="47"/>
      <c r="G24" s="47"/>
      <c r="H24" s="47"/>
      <c r="I24" s="47"/>
      <c r="J24" s="47"/>
      <c r="K24" s="47"/>
      <c r="L24" s="47"/>
      <c r="M24" s="536">
        <v>53.1</v>
      </c>
      <c r="N24" s="407"/>
      <c r="O24" s="407"/>
      <c r="P24" s="407"/>
      <c r="Q24" s="358">
        <f t="shared" si="0"/>
        <v>53.1</v>
      </c>
      <c r="R24" s="331" t="str">
        <f t="shared" si="1"/>
        <v>NO</v>
      </c>
      <c r="S24" s="316" t="str">
        <f t="shared" si="2"/>
        <v>Alto</v>
      </c>
      <c r="T24" s="16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214"/>
    </row>
    <row r="25" spans="1:32" ht="32.1" customHeight="1">
      <c r="A25" s="663" t="s">
        <v>187</v>
      </c>
      <c r="B25" s="663" t="s">
        <v>1426</v>
      </c>
      <c r="C25" s="664" t="s">
        <v>3966</v>
      </c>
      <c r="D25" s="367">
        <v>27</v>
      </c>
      <c r="E25" s="537"/>
      <c r="F25" s="537"/>
      <c r="G25" s="537"/>
      <c r="H25" s="537"/>
      <c r="I25" s="537"/>
      <c r="J25" s="537"/>
      <c r="K25" s="537"/>
      <c r="L25" s="537"/>
      <c r="M25" s="370"/>
      <c r="N25" s="370">
        <v>53.3</v>
      </c>
      <c r="O25" s="370"/>
      <c r="P25" s="370"/>
      <c r="Q25" s="371">
        <f t="shared" si="0"/>
        <v>53.3</v>
      </c>
      <c r="R25" s="372" t="str">
        <f t="shared" si="1"/>
        <v>NO</v>
      </c>
      <c r="S25" s="316" t="str">
        <f t="shared" si="2"/>
        <v>Alto</v>
      </c>
      <c r="T25" s="16"/>
    </row>
    <row r="26" spans="1:32" ht="32.1" customHeight="1">
      <c r="A26" s="595" t="s">
        <v>3771</v>
      </c>
      <c r="B26" s="665" t="s">
        <v>1427</v>
      </c>
      <c r="C26" s="665" t="s">
        <v>1428</v>
      </c>
      <c r="D26" s="304">
        <v>49</v>
      </c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>
        <v>97.35</v>
      </c>
      <c r="Q26" s="314">
        <f t="shared" si="0"/>
        <v>97.35</v>
      </c>
      <c r="R26" s="315" t="str">
        <f t="shared" si="1"/>
        <v>NO</v>
      </c>
      <c r="S26" s="316" t="str">
        <f t="shared" si="2"/>
        <v>Inviable Sanitariamente</v>
      </c>
      <c r="T26" s="16"/>
    </row>
    <row r="27" spans="1:32" ht="32.1" customHeight="1">
      <c r="A27" s="595" t="s">
        <v>3771</v>
      </c>
      <c r="B27" s="665" t="s">
        <v>1429</v>
      </c>
      <c r="C27" s="665" t="s">
        <v>1430</v>
      </c>
      <c r="D27" s="304">
        <v>149</v>
      </c>
      <c r="E27" s="368"/>
      <c r="F27" s="368"/>
      <c r="G27" s="368"/>
      <c r="H27" s="368"/>
      <c r="I27" s="368"/>
      <c r="J27" s="368"/>
      <c r="K27" s="368">
        <v>55</v>
      </c>
      <c r="L27" s="368"/>
      <c r="M27" s="368"/>
      <c r="N27" s="368"/>
      <c r="O27" s="368"/>
      <c r="P27" s="368"/>
      <c r="Q27" s="314">
        <f t="shared" si="0"/>
        <v>55</v>
      </c>
      <c r="R27" s="315" t="str">
        <f t="shared" si="1"/>
        <v>NO</v>
      </c>
      <c r="S27" s="316" t="str">
        <f t="shared" si="2"/>
        <v>Alto</v>
      </c>
      <c r="T27" s="16"/>
    </row>
    <row r="28" spans="1:32" ht="32.1" customHeight="1">
      <c r="A28" s="595" t="s">
        <v>3771</v>
      </c>
      <c r="B28" s="665" t="s">
        <v>1431</v>
      </c>
      <c r="C28" s="665" t="s">
        <v>1432</v>
      </c>
      <c r="D28" s="304">
        <v>72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14"/>
      <c r="R28" s="315"/>
      <c r="S28" s="316"/>
      <c r="T28" s="16"/>
    </row>
    <row r="29" spans="1:32" ht="32.1" customHeight="1">
      <c r="A29" s="595" t="s">
        <v>3771</v>
      </c>
      <c r="B29" s="665" t="s">
        <v>701</v>
      </c>
      <c r="C29" s="665" t="s">
        <v>1433</v>
      </c>
      <c r="D29" s="304">
        <v>65</v>
      </c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14"/>
      <c r="R29" s="315"/>
      <c r="S29" s="316"/>
      <c r="T29" s="16"/>
    </row>
    <row r="30" spans="1:32" ht="32.1" customHeight="1">
      <c r="A30" s="595" t="s">
        <v>3771</v>
      </c>
      <c r="B30" s="665" t="s">
        <v>1434</v>
      </c>
      <c r="C30" s="665" t="s">
        <v>1435</v>
      </c>
      <c r="D30" s="666" t="s">
        <v>4307</v>
      </c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>
        <v>26.55</v>
      </c>
      <c r="Q30" s="314">
        <f t="shared" si="0"/>
        <v>26.55</v>
      </c>
      <c r="R30" s="315" t="str">
        <f t="shared" si="1"/>
        <v>NO</v>
      </c>
      <c r="S30" s="316" t="str">
        <f t="shared" si="2"/>
        <v>Medio</v>
      </c>
      <c r="T30" s="16"/>
    </row>
    <row r="31" spans="1:32" ht="32.1" customHeight="1">
      <c r="A31" s="595" t="s">
        <v>3771</v>
      </c>
      <c r="B31" s="665" t="s">
        <v>1436</v>
      </c>
      <c r="C31" s="665" t="s">
        <v>1437</v>
      </c>
      <c r="D31" s="304">
        <v>150</v>
      </c>
      <c r="E31" s="368"/>
      <c r="F31" s="368"/>
      <c r="G31" s="368"/>
      <c r="H31" s="368"/>
      <c r="I31" s="368"/>
      <c r="J31" s="368"/>
      <c r="K31" s="368"/>
      <c r="L31" s="368"/>
      <c r="M31" s="368"/>
      <c r="N31" s="368">
        <v>97.35</v>
      </c>
      <c r="O31" s="368"/>
      <c r="P31" s="368"/>
      <c r="Q31" s="314">
        <f t="shared" si="0"/>
        <v>97.35</v>
      </c>
      <c r="R31" s="315" t="str">
        <f t="shared" si="1"/>
        <v>NO</v>
      </c>
      <c r="S31" s="316" t="str">
        <f t="shared" si="2"/>
        <v>Inviable Sanitariamente</v>
      </c>
      <c r="T31" s="16"/>
    </row>
    <row r="32" spans="1:32" ht="32.1" customHeight="1">
      <c r="A32" s="595" t="s">
        <v>3771</v>
      </c>
      <c r="B32" s="665" t="s">
        <v>1438</v>
      </c>
      <c r="C32" s="665" t="s">
        <v>1439</v>
      </c>
      <c r="D32" s="304">
        <v>25</v>
      </c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>
        <v>97.35</v>
      </c>
      <c r="Q32" s="314">
        <f t="shared" si="0"/>
        <v>97.35</v>
      </c>
      <c r="R32" s="315" t="str">
        <f t="shared" si="1"/>
        <v>NO</v>
      </c>
      <c r="S32" s="316" t="str">
        <f t="shared" si="2"/>
        <v>Inviable Sanitariamente</v>
      </c>
      <c r="T32" s="16"/>
    </row>
    <row r="33" spans="1:20" ht="32.1" customHeight="1">
      <c r="A33" s="595" t="s">
        <v>3771</v>
      </c>
      <c r="B33" s="665" t="s">
        <v>1440</v>
      </c>
      <c r="C33" s="665" t="s">
        <v>1441</v>
      </c>
      <c r="D33" s="304">
        <v>78</v>
      </c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>
        <v>97.35</v>
      </c>
      <c r="P33" s="368"/>
      <c r="Q33" s="314">
        <f t="shared" si="0"/>
        <v>97.35</v>
      </c>
      <c r="R33" s="315" t="str">
        <f t="shared" si="1"/>
        <v>NO</v>
      </c>
      <c r="S33" s="316" t="str">
        <f t="shared" si="2"/>
        <v>Inviable Sanitariamente</v>
      </c>
      <c r="T33" s="16"/>
    </row>
    <row r="34" spans="1:20" ht="32.1" customHeight="1">
      <c r="A34" s="595" t="s">
        <v>3771</v>
      </c>
      <c r="B34" s="665" t="s">
        <v>1442</v>
      </c>
      <c r="C34" s="665" t="s">
        <v>1443</v>
      </c>
      <c r="D34" s="304">
        <v>50</v>
      </c>
      <c r="E34" s="368"/>
      <c r="F34" s="368"/>
      <c r="G34" s="368"/>
      <c r="H34" s="368"/>
      <c r="I34" s="368"/>
      <c r="J34" s="368"/>
      <c r="K34" s="368">
        <v>55</v>
      </c>
      <c r="L34" s="368"/>
      <c r="M34" s="368"/>
      <c r="N34" s="368"/>
      <c r="O34" s="368"/>
      <c r="P34" s="368"/>
      <c r="Q34" s="314">
        <f t="shared" si="0"/>
        <v>55</v>
      </c>
      <c r="R34" s="315" t="str">
        <f t="shared" si="1"/>
        <v>NO</v>
      </c>
      <c r="S34" s="316" t="str">
        <f t="shared" si="2"/>
        <v>Alto</v>
      </c>
      <c r="T34" s="16"/>
    </row>
    <row r="35" spans="1:20" ht="32.1" customHeight="1">
      <c r="A35" s="595" t="s">
        <v>3771</v>
      </c>
      <c r="B35" s="665" t="s">
        <v>1444</v>
      </c>
      <c r="C35" s="665" t="s">
        <v>1445</v>
      </c>
      <c r="D35" s="304">
        <v>181</v>
      </c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>
        <v>97.35</v>
      </c>
      <c r="P35" s="368"/>
      <c r="Q35" s="314">
        <f t="shared" si="0"/>
        <v>97.35</v>
      </c>
      <c r="R35" s="315" t="str">
        <f t="shared" si="1"/>
        <v>NO</v>
      </c>
      <c r="S35" s="316" t="str">
        <f t="shared" si="2"/>
        <v>Inviable Sanitariamente</v>
      </c>
      <c r="T35" s="16"/>
    </row>
    <row r="36" spans="1:20" ht="32.1" customHeight="1">
      <c r="A36" s="595" t="s">
        <v>3771</v>
      </c>
      <c r="B36" s="665" t="s">
        <v>1446</v>
      </c>
      <c r="C36" s="665" t="s">
        <v>1447</v>
      </c>
      <c r="D36" s="304">
        <v>50</v>
      </c>
      <c r="E36" s="368"/>
      <c r="F36" s="368"/>
      <c r="G36" s="368"/>
      <c r="H36" s="368"/>
      <c r="I36" s="368"/>
      <c r="J36" s="368"/>
      <c r="K36" s="368">
        <v>55</v>
      </c>
      <c r="L36" s="368"/>
      <c r="M36" s="368"/>
      <c r="N36" s="368"/>
      <c r="O36" s="368"/>
      <c r="P36" s="368"/>
      <c r="Q36" s="314">
        <f t="shared" si="0"/>
        <v>55</v>
      </c>
      <c r="R36" s="315" t="str">
        <f t="shared" si="1"/>
        <v>NO</v>
      </c>
      <c r="S36" s="316" t="str">
        <f t="shared" si="2"/>
        <v>Alto</v>
      </c>
      <c r="T36" s="16"/>
    </row>
    <row r="37" spans="1:20" ht="32.1" customHeight="1">
      <c r="A37" s="595" t="s">
        <v>3771</v>
      </c>
      <c r="B37" s="665" t="s">
        <v>1448</v>
      </c>
      <c r="C37" s="665" t="s">
        <v>1449</v>
      </c>
      <c r="D37" s="304">
        <v>117</v>
      </c>
      <c r="E37" s="368"/>
      <c r="F37" s="368"/>
      <c r="G37" s="368"/>
      <c r="H37" s="368"/>
      <c r="I37" s="368"/>
      <c r="J37" s="368"/>
      <c r="K37" s="368">
        <v>55</v>
      </c>
      <c r="L37" s="368"/>
      <c r="M37" s="368"/>
      <c r="N37" s="368"/>
      <c r="O37" s="368"/>
      <c r="P37" s="368"/>
      <c r="Q37" s="314">
        <f t="shared" si="0"/>
        <v>55</v>
      </c>
      <c r="R37" s="315" t="str">
        <f t="shared" si="1"/>
        <v>NO</v>
      </c>
      <c r="S37" s="316" t="str">
        <f t="shared" si="2"/>
        <v>Alto</v>
      </c>
      <c r="T37" s="16"/>
    </row>
    <row r="38" spans="1:20" ht="32.1" customHeight="1">
      <c r="A38" s="595" t="s">
        <v>3771</v>
      </c>
      <c r="B38" s="665" t="s">
        <v>1450</v>
      </c>
      <c r="C38" s="665" t="s">
        <v>1451</v>
      </c>
      <c r="D38" s="304">
        <v>40</v>
      </c>
      <c r="E38" s="368"/>
      <c r="F38" s="368"/>
      <c r="G38" s="368"/>
      <c r="H38" s="368"/>
      <c r="I38" s="368"/>
      <c r="J38" s="368"/>
      <c r="K38" s="368"/>
      <c r="L38" s="368">
        <v>55</v>
      </c>
      <c r="M38" s="368"/>
      <c r="N38" s="368"/>
      <c r="O38" s="368"/>
      <c r="P38" s="368"/>
      <c r="Q38" s="314">
        <f t="shared" si="0"/>
        <v>55</v>
      </c>
      <c r="R38" s="315" t="str">
        <f t="shared" si="1"/>
        <v>NO</v>
      </c>
      <c r="S38" s="316" t="str">
        <f t="shared" si="2"/>
        <v>Alto</v>
      </c>
      <c r="T38" s="16"/>
    </row>
    <row r="39" spans="1:20" ht="32.1" customHeight="1">
      <c r="A39" s="595" t="s">
        <v>3771</v>
      </c>
      <c r="B39" s="665" t="s">
        <v>1452</v>
      </c>
      <c r="C39" s="665" t="s">
        <v>1453</v>
      </c>
      <c r="D39" s="304">
        <v>36</v>
      </c>
      <c r="E39" s="368"/>
      <c r="F39" s="368"/>
      <c r="G39" s="368"/>
      <c r="H39" s="368"/>
      <c r="I39" s="368"/>
      <c r="J39" s="368">
        <v>55</v>
      </c>
      <c r="K39" s="368"/>
      <c r="L39" s="368"/>
      <c r="M39" s="368"/>
      <c r="N39" s="368"/>
      <c r="O39" s="368"/>
      <c r="P39" s="368"/>
      <c r="Q39" s="314">
        <f t="shared" si="0"/>
        <v>55</v>
      </c>
      <c r="R39" s="315" t="str">
        <f t="shared" si="1"/>
        <v>NO</v>
      </c>
      <c r="S39" s="316" t="str">
        <f t="shared" si="2"/>
        <v>Alto</v>
      </c>
      <c r="T39" s="16"/>
    </row>
    <row r="40" spans="1:20" ht="32.1" customHeight="1">
      <c r="A40" s="595" t="s">
        <v>3771</v>
      </c>
      <c r="B40" s="665" t="s">
        <v>1454</v>
      </c>
      <c r="C40" s="665" t="s">
        <v>1455</v>
      </c>
      <c r="D40" s="304">
        <v>70</v>
      </c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14"/>
      <c r="R40" s="315"/>
      <c r="S40" s="316"/>
      <c r="T40" s="16"/>
    </row>
    <row r="41" spans="1:20" ht="32.1" customHeight="1">
      <c r="A41" s="595" t="s">
        <v>189</v>
      </c>
      <c r="B41" s="595" t="s">
        <v>1456</v>
      </c>
      <c r="C41" s="595" t="s">
        <v>1457</v>
      </c>
      <c r="D41" s="304">
        <v>150</v>
      </c>
      <c r="E41" s="368"/>
      <c r="F41" s="368"/>
      <c r="G41" s="368"/>
      <c r="H41" s="368"/>
      <c r="I41" s="368"/>
      <c r="J41" s="368">
        <v>0</v>
      </c>
      <c r="K41" s="368">
        <v>0</v>
      </c>
      <c r="L41" s="368"/>
      <c r="M41" s="368"/>
      <c r="N41" s="368"/>
      <c r="O41" s="368"/>
      <c r="P41" s="368"/>
      <c r="Q41" s="358">
        <f t="shared" si="0"/>
        <v>0</v>
      </c>
      <c r="R41" s="331" t="str">
        <f t="shared" si="1"/>
        <v>SI</v>
      </c>
      <c r="S41" s="316" t="str">
        <f t="shared" si="2"/>
        <v>Sin Riesgo</v>
      </c>
      <c r="T41" s="16"/>
    </row>
    <row r="42" spans="1:20" ht="32.1" customHeight="1">
      <c r="A42" s="595" t="s">
        <v>189</v>
      </c>
      <c r="B42" s="595" t="s">
        <v>18</v>
      </c>
      <c r="C42" s="595" t="s">
        <v>1458</v>
      </c>
      <c r="D42" s="304">
        <v>4190</v>
      </c>
      <c r="E42" s="368"/>
      <c r="F42" s="368"/>
      <c r="G42" s="368"/>
      <c r="H42" s="368"/>
      <c r="I42" s="368"/>
      <c r="J42" s="368"/>
      <c r="K42" s="368">
        <v>0</v>
      </c>
      <c r="L42" s="368"/>
      <c r="M42" s="368"/>
      <c r="N42" s="368"/>
      <c r="O42" s="368"/>
      <c r="P42" s="368"/>
      <c r="Q42" s="358">
        <f t="shared" si="0"/>
        <v>0</v>
      </c>
      <c r="R42" s="331" t="str">
        <f t="shared" si="1"/>
        <v>SI</v>
      </c>
      <c r="S42" s="316" t="str">
        <f t="shared" si="2"/>
        <v>Sin Riesgo</v>
      </c>
      <c r="T42" s="16"/>
    </row>
    <row r="43" spans="1:20" ht="32.1" customHeight="1">
      <c r="A43" s="595" t="s">
        <v>189</v>
      </c>
      <c r="B43" s="595" t="s">
        <v>1459</v>
      </c>
      <c r="C43" s="595" t="s">
        <v>1460</v>
      </c>
      <c r="D43" s="304">
        <v>4190</v>
      </c>
      <c r="E43" s="373">
        <v>0</v>
      </c>
      <c r="F43" s="373">
        <v>0</v>
      </c>
      <c r="G43" s="373">
        <v>0</v>
      </c>
      <c r="H43" s="373">
        <v>0</v>
      </c>
      <c r="I43" s="373">
        <v>0</v>
      </c>
      <c r="J43" s="373">
        <v>0</v>
      </c>
      <c r="K43" s="373">
        <v>0</v>
      </c>
      <c r="L43" s="373"/>
      <c r="M43" s="373"/>
      <c r="N43" s="373"/>
      <c r="O43" s="373"/>
      <c r="P43" s="373"/>
      <c r="Q43" s="374">
        <f t="shared" ref="Q43:Q74" si="3">AVERAGE(E43:P43)</f>
        <v>0</v>
      </c>
      <c r="R43" s="315" t="str">
        <f t="shared" ref="R43:R74" si="4">IF(Q43&lt;5,"SI","NO")</f>
        <v>SI</v>
      </c>
      <c r="S43" s="316" t="str">
        <f t="shared" ref="S43:S85" si="5">IF(Q43&lt;=5,"Sin Riesgo",IF(Q43 &lt;=14,"Bajo",IF(Q43&lt;=35,"Medio",IF(Q43&lt;=80,"Alto","Inviable Sanitariamente"))))</f>
        <v>Sin Riesgo</v>
      </c>
      <c r="T43" s="16"/>
    </row>
    <row r="44" spans="1:20" ht="32.1" customHeight="1">
      <c r="A44" s="595" t="s">
        <v>189</v>
      </c>
      <c r="B44" s="595" t="s">
        <v>1461</v>
      </c>
      <c r="C44" s="595" t="s">
        <v>1462</v>
      </c>
      <c r="D44" s="304">
        <v>4190</v>
      </c>
      <c r="E44" s="373">
        <v>0</v>
      </c>
      <c r="F44" s="373">
        <v>0</v>
      </c>
      <c r="G44" s="373">
        <v>0</v>
      </c>
      <c r="H44" s="373">
        <v>0</v>
      </c>
      <c r="I44" s="373">
        <v>0</v>
      </c>
      <c r="J44" s="373">
        <v>0</v>
      </c>
      <c r="K44" s="373">
        <v>0</v>
      </c>
      <c r="L44" s="373"/>
      <c r="M44" s="373"/>
      <c r="N44" s="373"/>
      <c r="O44" s="373"/>
      <c r="P44" s="373"/>
      <c r="Q44" s="374">
        <f>AVERAGE(E44:P44)</f>
        <v>0</v>
      </c>
      <c r="R44" s="331" t="str">
        <f t="shared" si="4"/>
        <v>SI</v>
      </c>
      <c r="S44" s="316" t="str">
        <f t="shared" si="5"/>
        <v>Sin Riesgo</v>
      </c>
      <c r="T44" s="16"/>
    </row>
    <row r="45" spans="1:20" ht="32.1" customHeight="1">
      <c r="A45" s="452" t="s">
        <v>189</v>
      </c>
      <c r="B45" s="344" t="s">
        <v>1463</v>
      </c>
      <c r="C45" s="344" t="s">
        <v>55</v>
      </c>
      <c r="D45" s="304">
        <v>20</v>
      </c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>
        <v>100</v>
      </c>
      <c r="P45" s="407"/>
      <c r="Q45" s="358">
        <f t="shared" si="3"/>
        <v>100</v>
      </c>
      <c r="R45" s="331" t="str">
        <f t="shared" si="4"/>
        <v>NO</v>
      </c>
      <c r="S45" s="316" t="str">
        <f t="shared" si="5"/>
        <v>Inviable Sanitariamente</v>
      </c>
      <c r="T45" s="16"/>
    </row>
    <row r="46" spans="1:20" ht="32.1" customHeight="1">
      <c r="A46" s="595" t="s">
        <v>189</v>
      </c>
      <c r="B46" s="595" t="s">
        <v>20</v>
      </c>
      <c r="C46" s="595" t="s">
        <v>1464</v>
      </c>
      <c r="D46" s="304">
        <v>40</v>
      </c>
      <c r="E46" s="368"/>
      <c r="F46" s="368"/>
      <c r="G46" s="368"/>
      <c r="H46" s="368"/>
      <c r="I46" s="368">
        <v>0</v>
      </c>
      <c r="J46" s="368"/>
      <c r="K46" s="368"/>
      <c r="L46" s="368"/>
      <c r="M46" s="368"/>
      <c r="N46" s="368"/>
      <c r="O46" s="368"/>
      <c r="P46" s="368"/>
      <c r="Q46" s="314">
        <f t="shared" si="3"/>
        <v>0</v>
      </c>
      <c r="R46" s="315" t="str">
        <f t="shared" si="4"/>
        <v>SI</v>
      </c>
      <c r="S46" s="316" t="str">
        <f t="shared" si="5"/>
        <v>Sin Riesgo</v>
      </c>
      <c r="T46" s="16"/>
    </row>
    <row r="47" spans="1:20" ht="32.1" customHeight="1">
      <c r="A47" s="597" t="s">
        <v>189</v>
      </c>
      <c r="B47" s="595" t="s">
        <v>1465</v>
      </c>
      <c r="C47" s="595" t="s">
        <v>55</v>
      </c>
      <c r="D47" s="418">
        <v>22</v>
      </c>
      <c r="E47" s="407"/>
      <c r="F47" s="407"/>
      <c r="G47" s="407"/>
      <c r="H47" s="407"/>
      <c r="I47" s="407"/>
      <c r="J47" s="407">
        <v>96.38</v>
      </c>
      <c r="K47" s="407"/>
      <c r="L47" s="407"/>
      <c r="M47" s="407"/>
      <c r="N47" s="407">
        <v>100</v>
      </c>
      <c r="O47" s="407"/>
      <c r="P47" s="407"/>
      <c r="Q47" s="358">
        <f t="shared" si="3"/>
        <v>98.19</v>
      </c>
      <c r="R47" s="331" t="str">
        <f t="shared" si="4"/>
        <v>NO</v>
      </c>
      <c r="S47" s="316" t="str">
        <f t="shared" si="5"/>
        <v>Inviable Sanitariamente</v>
      </c>
      <c r="T47" s="16"/>
    </row>
    <row r="48" spans="1:20" ht="32.1" customHeight="1">
      <c r="A48" s="595" t="s">
        <v>54</v>
      </c>
      <c r="B48" s="586" t="s">
        <v>1466</v>
      </c>
      <c r="C48" s="586" t="s">
        <v>1467</v>
      </c>
      <c r="D48" s="304">
        <v>43</v>
      </c>
      <c r="E48" s="368"/>
      <c r="F48" s="368"/>
      <c r="G48" s="368"/>
      <c r="H48" s="368"/>
      <c r="I48" s="368"/>
      <c r="J48" s="368"/>
      <c r="K48" s="368"/>
      <c r="L48" s="368"/>
      <c r="M48" s="368">
        <v>41.96</v>
      </c>
      <c r="N48" s="368"/>
      <c r="O48" s="368"/>
      <c r="P48" s="368"/>
      <c r="Q48" s="314">
        <f t="shared" si="3"/>
        <v>41.96</v>
      </c>
      <c r="R48" s="315" t="str">
        <f t="shared" si="4"/>
        <v>NO</v>
      </c>
      <c r="S48" s="316" t="str">
        <f t="shared" si="5"/>
        <v>Alto</v>
      </c>
      <c r="T48" s="16"/>
    </row>
    <row r="49" spans="1:20" ht="32.1" customHeight="1">
      <c r="A49" s="452" t="s">
        <v>54</v>
      </c>
      <c r="B49" s="340" t="s">
        <v>1468</v>
      </c>
      <c r="C49" s="340" t="s">
        <v>1469</v>
      </c>
      <c r="D49" s="346">
        <v>463</v>
      </c>
      <c r="E49" s="47"/>
      <c r="F49" s="47"/>
      <c r="G49" s="47"/>
      <c r="H49" s="47">
        <v>97</v>
      </c>
      <c r="I49" s="47"/>
      <c r="J49" s="47"/>
      <c r="K49" s="47"/>
      <c r="L49" s="47"/>
      <c r="M49" s="47"/>
      <c r="N49" s="47"/>
      <c r="O49" s="47"/>
      <c r="P49" s="47"/>
      <c r="Q49" s="314">
        <f t="shared" si="3"/>
        <v>97</v>
      </c>
      <c r="R49" s="315" t="str">
        <f t="shared" si="4"/>
        <v>NO</v>
      </c>
      <c r="S49" s="316" t="str">
        <f t="shared" si="5"/>
        <v>Inviable Sanitariamente</v>
      </c>
      <c r="T49" s="16"/>
    </row>
    <row r="50" spans="1:20" ht="32.1" customHeight="1">
      <c r="A50" s="452" t="s">
        <v>54</v>
      </c>
      <c r="B50" s="340" t="s">
        <v>1470</v>
      </c>
      <c r="C50" s="340" t="s">
        <v>1471</v>
      </c>
      <c r="D50" s="346">
        <v>459</v>
      </c>
      <c r="E50" s="47">
        <v>0</v>
      </c>
      <c r="F50" s="47">
        <v>0</v>
      </c>
      <c r="G50" s="47"/>
      <c r="H50" s="47"/>
      <c r="I50" s="47">
        <v>12</v>
      </c>
      <c r="J50" s="47">
        <v>0</v>
      </c>
      <c r="K50" s="47">
        <v>14.2</v>
      </c>
      <c r="L50" s="47">
        <v>0</v>
      </c>
      <c r="M50" s="47">
        <v>0</v>
      </c>
      <c r="N50" s="47">
        <v>0</v>
      </c>
      <c r="O50" s="47">
        <v>0</v>
      </c>
      <c r="P50" s="47">
        <v>13</v>
      </c>
      <c r="Q50" s="314">
        <f t="shared" si="3"/>
        <v>3.9200000000000004</v>
      </c>
      <c r="R50" s="315" t="str">
        <f t="shared" si="4"/>
        <v>SI</v>
      </c>
      <c r="S50" s="316" t="str">
        <f t="shared" si="5"/>
        <v>Sin Riesgo</v>
      </c>
      <c r="T50" s="16"/>
    </row>
    <row r="51" spans="1:20" ht="32.1" customHeight="1">
      <c r="A51" s="452" t="s">
        <v>54</v>
      </c>
      <c r="B51" s="340" t="s">
        <v>1472</v>
      </c>
      <c r="C51" s="340" t="s">
        <v>1473</v>
      </c>
      <c r="D51" s="346">
        <v>1892</v>
      </c>
      <c r="E51" s="47">
        <v>32</v>
      </c>
      <c r="F51" s="47">
        <v>0</v>
      </c>
      <c r="G51" s="339">
        <v>0</v>
      </c>
      <c r="H51" s="47">
        <v>0</v>
      </c>
      <c r="I51" s="47">
        <v>0.8</v>
      </c>
      <c r="J51" s="47">
        <v>0</v>
      </c>
      <c r="K51" s="47">
        <v>0</v>
      </c>
      <c r="L51" s="47">
        <v>0</v>
      </c>
      <c r="M51" s="47">
        <v>0</v>
      </c>
      <c r="N51" s="47">
        <v>23.6</v>
      </c>
      <c r="O51" s="47">
        <v>9.6</v>
      </c>
      <c r="P51" s="47">
        <v>0</v>
      </c>
      <c r="Q51" s="314">
        <f t="shared" si="3"/>
        <v>5.5</v>
      </c>
      <c r="R51" s="315" t="str">
        <f t="shared" si="4"/>
        <v>NO</v>
      </c>
      <c r="S51" s="316" t="str">
        <f t="shared" si="5"/>
        <v>Bajo</v>
      </c>
      <c r="T51" s="16"/>
    </row>
    <row r="52" spans="1:20" ht="32.1" customHeight="1">
      <c r="A52" s="452" t="s">
        <v>54</v>
      </c>
      <c r="B52" s="340" t="s">
        <v>2</v>
      </c>
      <c r="C52" s="340" t="s">
        <v>1474</v>
      </c>
      <c r="D52" s="346">
        <v>97</v>
      </c>
      <c r="E52" s="47"/>
      <c r="F52" s="47"/>
      <c r="G52" s="47"/>
      <c r="H52" s="47"/>
      <c r="I52" s="47"/>
      <c r="J52" s="47"/>
      <c r="K52" s="47"/>
      <c r="L52" s="47">
        <v>96.3</v>
      </c>
      <c r="M52" s="47"/>
      <c r="N52" s="47"/>
      <c r="O52" s="47"/>
      <c r="P52" s="47"/>
      <c r="Q52" s="314">
        <f t="shared" si="3"/>
        <v>96.3</v>
      </c>
      <c r="R52" s="315" t="str">
        <f t="shared" si="4"/>
        <v>NO</v>
      </c>
      <c r="S52" s="316" t="str">
        <f t="shared" si="5"/>
        <v>Inviable Sanitariamente</v>
      </c>
      <c r="T52" s="16"/>
    </row>
    <row r="53" spans="1:20" ht="32.1" customHeight="1">
      <c r="A53" s="452" t="s">
        <v>54</v>
      </c>
      <c r="B53" s="340" t="s">
        <v>1475</v>
      </c>
      <c r="C53" s="340" t="s">
        <v>1476</v>
      </c>
      <c r="D53" s="346">
        <v>905</v>
      </c>
      <c r="E53" s="47"/>
      <c r="F53" s="47"/>
      <c r="G53" s="47"/>
      <c r="H53" s="339"/>
      <c r="I53" s="47">
        <v>24</v>
      </c>
      <c r="J53" s="47">
        <v>0</v>
      </c>
      <c r="K53" s="47">
        <v>0</v>
      </c>
      <c r="L53" s="47">
        <v>0</v>
      </c>
      <c r="M53" s="47">
        <v>47.6</v>
      </c>
      <c r="N53" s="47">
        <v>0</v>
      </c>
      <c r="O53" s="47">
        <v>19.3</v>
      </c>
      <c r="P53" s="47">
        <v>53</v>
      </c>
      <c r="Q53" s="314">
        <f t="shared" si="3"/>
        <v>17.987499999999997</v>
      </c>
      <c r="R53" s="315" t="str">
        <f t="shared" si="4"/>
        <v>NO</v>
      </c>
      <c r="S53" s="316" t="str">
        <f t="shared" si="5"/>
        <v>Medio</v>
      </c>
      <c r="T53" s="16"/>
    </row>
    <row r="54" spans="1:20" ht="32.1" customHeight="1">
      <c r="A54" s="452" t="s">
        <v>54</v>
      </c>
      <c r="B54" s="340" t="s">
        <v>1477</v>
      </c>
      <c r="C54" s="340" t="s">
        <v>1478</v>
      </c>
      <c r="D54" s="346">
        <v>1</v>
      </c>
      <c r="E54" s="47"/>
      <c r="F54" s="47"/>
      <c r="G54" s="47"/>
      <c r="H54" s="47"/>
      <c r="I54" s="47">
        <v>63</v>
      </c>
      <c r="J54" s="47"/>
      <c r="K54" s="47">
        <v>97</v>
      </c>
      <c r="L54" s="47"/>
      <c r="M54" s="47">
        <v>67</v>
      </c>
      <c r="N54" s="47"/>
      <c r="O54" s="47"/>
      <c r="P54" s="47"/>
      <c r="Q54" s="314">
        <f t="shared" si="3"/>
        <v>75.666666666666671</v>
      </c>
      <c r="R54" s="315" t="str">
        <f t="shared" si="4"/>
        <v>NO</v>
      </c>
      <c r="S54" s="316" t="str">
        <f t="shared" si="5"/>
        <v>Alto</v>
      </c>
      <c r="T54" s="16"/>
    </row>
    <row r="55" spans="1:20" ht="32.1" customHeight="1">
      <c r="A55" s="452" t="s">
        <v>54</v>
      </c>
      <c r="B55" s="340" t="s">
        <v>1479</v>
      </c>
      <c r="C55" s="340" t="s">
        <v>1480</v>
      </c>
      <c r="D55" s="399">
        <v>50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>
        <v>48</v>
      </c>
      <c r="P55" s="47"/>
      <c r="Q55" s="314">
        <f t="shared" si="3"/>
        <v>48</v>
      </c>
      <c r="R55" s="315" t="str">
        <f t="shared" si="4"/>
        <v>NO</v>
      </c>
      <c r="S55" s="316" t="str">
        <f t="shared" si="5"/>
        <v>Alto</v>
      </c>
      <c r="T55" s="16"/>
    </row>
    <row r="56" spans="1:20" ht="32.1" customHeight="1">
      <c r="A56" s="452" t="s">
        <v>54</v>
      </c>
      <c r="B56" s="340" t="s">
        <v>1481</v>
      </c>
      <c r="C56" s="340" t="s">
        <v>1482</v>
      </c>
      <c r="D56" s="346">
        <v>75</v>
      </c>
      <c r="E56" s="47"/>
      <c r="F56" s="47"/>
      <c r="G56" s="47"/>
      <c r="H56" s="47"/>
      <c r="I56" s="47"/>
      <c r="J56" s="47"/>
      <c r="K56" s="47"/>
      <c r="L56" s="47">
        <v>96.3</v>
      </c>
      <c r="M56" s="47"/>
      <c r="N56" s="47"/>
      <c r="O56" s="47"/>
      <c r="P56" s="47"/>
      <c r="Q56" s="314">
        <f t="shared" si="3"/>
        <v>96.3</v>
      </c>
      <c r="R56" s="315" t="str">
        <f t="shared" si="4"/>
        <v>NO</v>
      </c>
      <c r="S56" s="316" t="str">
        <f t="shared" si="5"/>
        <v>Inviable Sanitariamente</v>
      </c>
      <c r="T56" s="16"/>
    </row>
    <row r="57" spans="1:20" ht="32.1" customHeight="1">
      <c r="A57" s="452" t="s">
        <v>54</v>
      </c>
      <c r="B57" s="340" t="s">
        <v>1483</v>
      </c>
      <c r="C57" s="340" t="s">
        <v>1484</v>
      </c>
      <c r="D57" s="346">
        <v>336</v>
      </c>
      <c r="E57" s="47"/>
      <c r="F57" s="47"/>
      <c r="G57" s="47"/>
      <c r="H57" s="47"/>
      <c r="I57" s="47">
        <v>18</v>
      </c>
      <c r="J57" s="47">
        <v>0</v>
      </c>
      <c r="K57" s="47">
        <v>47.6</v>
      </c>
      <c r="L57" s="47">
        <v>34.28</v>
      </c>
      <c r="M57" s="47">
        <v>0</v>
      </c>
      <c r="N57" s="47">
        <v>0</v>
      </c>
      <c r="O57" s="47">
        <v>0</v>
      </c>
      <c r="P57" s="47">
        <v>0</v>
      </c>
      <c r="Q57" s="314">
        <f t="shared" si="3"/>
        <v>12.484999999999999</v>
      </c>
      <c r="R57" s="315" t="str">
        <f t="shared" si="4"/>
        <v>NO</v>
      </c>
      <c r="S57" s="316" t="str">
        <f t="shared" si="5"/>
        <v>Bajo</v>
      </c>
      <c r="T57" s="16"/>
    </row>
    <row r="58" spans="1:20" ht="32.1" customHeight="1">
      <c r="A58" s="595" t="s">
        <v>54</v>
      </c>
      <c r="B58" s="586" t="s">
        <v>1485</v>
      </c>
      <c r="C58" s="586" t="s">
        <v>1486</v>
      </c>
      <c r="D58" s="304">
        <v>100</v>
      </c>
      <c r="E58" s="368"/>
      <c r="F58" s="368">
        <v>75.2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14">
        <f t="shared" si="3"/>
        <v>75.2</v>
      </c>
      <c r="R58" s="315" t="str">
        <f t="shared" si="4"/>
        <v>NO</v>
      </c>
      <c r="S58" s="316" t="str">
        <f t="shared" si="5"/>
        <v>Alto</v>
      </c>
      <c r="T58" s="16"/>
    </row>
    <row r="59" spans="1:20" ht="32.1" customHeight="1">
      <c r="A59" s="597" t="s">
        <v>3772</v>
      </c>
      <c r="B59" s="586" t="s">
        <v>1487</v>
      </c>
      <c r="C59" s="586" t="s">
        <v>1488</v>
      </c>
      <c r="D59" s="346">
        <v>74</v>
      </c>
      <c r="E59" s="407"/>
      <c r="F59" s="407"/>
      <c r="G59" s="407">
        <v>97.35</v>
      </c>
      <c r="H59" s="407"/>
      <c r="I59" s="407"/>
      <c r="J59" s="407"/>
      <c r="K59" s="407"/>
      <c r="L59" s="407"/>
      <c r="M59" s="407"/>
      <c r="N59" s="407"/>
      <c r="O59" s="407"/>
      <c r="P59" s="407"/>
      <c r="Q59" s="314">
        <f t="shared" si="3"/>
        <v>97.35</v>
      </c>
      <c r="R59" s="315" t="str">
        <f t="shared" si="4"/>
        <v>NO</v>
      </c>
      <c r="S59" s="316" t="str">
        <f t="shared" si="5"/>
        <v>Inviable Sanitariamente</v>
      </c>
      <c r="T59" s="16"/>
    </row>
    <row r="60" spans="1:20" ht="32.1" customHeight="1">
      <c r="A60" s="597" t="s">
        <v>3772</v>
      </c>
      <c r="B60" s="586" t="s">
        <v>1489</v>
      </c>
      <c r="C60" s="586" t="s">
        <v>1490</v>
      </c>
      <c r="D60" s="399">
        <v>407</v>
      </c>
      <c r="E60" s="407"/>
      <c r="F60" s="407"/>
      <c r="G60" s="407">
        <v>97.35</v>
      </c>
      <c r="H60" s="407"/>
      <c r="I60" s="407"/>
      <c r="J60" s="407"/>
      <c r="K60" s="407"/>
      <c r="L60" s="407"/>
      <c r="M60" s="407"/>
      <c r="N60" s="407"/>
      <c r="O60" s="407"/>
      <c r="P60" s="407"/>
      <c r="Q60" s="314">
        <f t="shared" si="3"/>
        <v>97.35</v>
      </c>
      <c r="R60" s="315" t="str">
        <f t="shared" si="4"/>
        <v>NO</v>
      </c>
      <c r="S60" s="316" t="str">
        <f t="shared" si="5"/>
        <v>Inviable Sanitariamente</v>
      </c>
      <c r="T60" s="16"/>
    </row>
    <row r="61" spans="1:20" ht="32.1" customHeight="1">
      <c r="A61" s="597" t="s">
        <v>3772</v>
      </c>
      <c r="B61" s="586" t="s">
        <v>1491</v>
      </c>
      <c r="C61" s="586" t="s">
        <v>1492</v>
      </c>
      <c r="D61" s="346">
        <v>42</v>
      </c>
      <c r="E61" s="407"/>
      <c r="F61" s="407">
        <v>97.35</v>
      </c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314">
        <f t="shared" si="3"/>
        <v>97.35</v>
      </c>
      <c r="R61" s="315" t="str">
        <f t="shared" si="4"/>
        <v>NO</v>
      </c>
      <c r="S61" s="316" t="str">
        <f t="shared" si="5"/>
        <v>Inviable Sanitariamente</v>
      </c>
      <c r="T61" s="16"/>
    </row>
    <row r="62" spans="1:20" ht="32.1" customHeight="1">
      <c r="A62" s="597" t="s">
        <v>3772</v>
      </c>
      <c r="B62" s="586" t="s">
        <v>1493</v>
      </c>
      <c r="C62" s="586" t="s">
        <v>1494</v>
      </c>
      <c r="D62" s="399">
        <v>19</v>
      </c>
      <c r="E62" s="407">
        <v>97.35</v>
      </c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314">
        <f t="shared" si="3"/>
        <v>97.35</v>
      </c>
      <c r="R62" s="315" t="str">
        <f t="shared" si="4"/>
        <v>NO</v>
      </c>
      <c r="S62" s="316" t="str">
        <f t="shared" si="5"/>
        <v>Inviable Sanitariamente</v>
      </c>
      <c r="T62" s="16"/>
    </row>
    <row r="63" spans="1:20" ht="32.1" customHeight="1">
      <c r="A63" s="595" t="s">
        <v>3772</v>
      </c>
      <c r="B63" s="586" t="s">
        <v>1495</v>
      </c>
      <c r="C63" s="586" t="s">
        <v>1496</v>
      </c>
      <c r="D63" s="304">
        <v>17</v>
      </c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14"/>
      <c r="R63" s="315"/>
      <c r="S63" s="316"/>
      <c r="T63" s="16"/>
    </row>
    <row r="64" spans="1:20" ht="32.1" customHeight="1">
      <c r="A64" s="595" t="s">
        <v>3772</v>
      </c>
      <c r="B64" s="586" t="s">
        <v>64</v>
      </c>
      <c r="C64" s="586" t="s">
        <v>1497</v>
      </c>
      <c r="D64" s="304">
        <v>15</v>
      </c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14"/>
      <c r="R64" s="315"/>
      <c r="S64" s="316"/>
      <c r="T64" s="16"/>
    </row>
    <row r="65" spans="1:70" ht="32.1" customHeight="1">
      <c r="A65" s="597" t="s">
        <v>3772</v>
      </c>
      <c r="B65" s="586" t="s">
        <v>1498</v>
      </c>
      <c r="C65" s="586" t="s">
        <v>1499</v>
      </c>
      <c r="D65" s="346">
        <v>42</v>
      </c>
      <c r="E65" s="407">
        <v>26.55</v>
      </c>
      <c r="F65" s="407"/>
      <c r="G65" s="407"/>
      <c r="H65" s="407"/>
      <c r="I65" s="407"/>
      <c r="J65" s="407"/>
      <c r="K65" s="407"/>
      <c r="L65" s="407"/>
      <c r="M65" s="407"/>
      <c r="N65" s="407"/>
      <c r="O65" s="407">
        <v>53.1</v>
      </c>
      <c r="P65" s="407"/>
      <c r="Q65" s="314">
        <f t="shared" si="3"/>
        <v>39.825000000000003</v>
      </c>
      <c r="R65" s="315" t="str">
        <f t="shared" si="4"/>
        <v>NO</v>
      </c>
      <c r="S65" s="316" t="str">
        <f t="shared" si="5"/>
        <v>Alto</v>
      </c>
      <c r="T65" s="16"/>
    </row>
    <row r="66" spans="1:70" ht="32.1" customHeight="1">
      <c r="A66" s="597" t="s">
        <v>3772</v>
      </c>
      <c r="B66" s="586" t="s">
        <v>1500</v>
      </c>
      <c r="C66" s="586" t="s">
        <v>1501</v>
      </c>
      <c r="D66" s="399">
        <v>43</v>
      </c>
      <c r="E66" s="407"/>
      <c r="F66" s="407">
        <v>53.1</v>
      </c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314">
        <f t="shared" si="3"/>
        <v>53.1</v>
      </c>
      <c r="R66" s="315" t="str">
        <f t="shared" si="4"/>
        <v>NO</v>
      </c>
      <c r="S66" s="316" t="str">
        <f t="shared" si="5"/>
        <v>Alto</v>
      </c>
    </row>
    <row r="67" spans="1:70" ht="32.1" customHeight="1">
      <c r="A67" s="597" t="s">
        <v>3772</v>
      </c>
      <c r="B67" s="586" t="s">
        <v>1502</v>
      </c>
      <c r="C67" s="586" t="s">
        <v>1503</v>
      </c>
      <c r="D67" s="346">
        <v>18</v>
      </c>
      <c r="E67" s="407"/>
      <c r="F67" s="407"/>
      <c r="G67" s="407">
        <v>26.55</v>
      </c>
      <c r="H67" s="407"/>
      <c r="I67" s="407"/>
      <c r="J67" s="407"/>
      <c r="K67" s="407"/>
      <c r="L67" s="407"/>
      <c r="M67" s="407"/>
      <c r="N67" s="407"/>
      <c r="O67" s="407"/>
      <c r="P67" s="407"/>
      <c r="Q67" s="314">
        <f t="shared" si="3"/>
        <v>26.55</v>
      </c>
      <c r="R67" s="315" t="str">
        <f t="shared" si="4"/>
        <v>NO</v>
      </c>
      <c r="S67" s="316" t="str">
        <f t="shared" si="5"/>
        <v>Medio</v>
      </c>
    </row>
    <row r="68" spans="1:70" ht="32.1" customHeight="1">
      <c r="A68" s="597" t="s">
        <v>3772</v>
      </c>
      <c r="B68" s="586" t="s">
        <v>1504</v>
      </c>
      <c r="C68" s="586" t="s">
        <v>1505</v>
      </c>
      <c r="D68" s="399">
        <v>45</v>
      </c>
      <c r="E68" s="465"/>
      <c r="F68" s="465">
        <v>53.1</v>
      </c>
      <c r="G68" s="465"/>
      <c r="H68" s="465"/>
      <c r="I68" s="465"/>
      <c r="J68" s="465"/>
      <c r="K68" s="465"/>
      <c r="L68" s="465"/>
      <c r="M68" s="465"/>
      <c r="N68" s="407"/>
      <c r="O68" s="407"/>
      <c r="P68" s="407"/>
      <c r="Q68" s="314">
        <f t="shared" si="3"/>
        <v>53.1</v>
      </c>
      <c r="R68" s="315" t="str">
        <f t="shared" si="4"/>
        <v>NO</v>
      </c>
      <c r="S68" s="316" t="str">
        <f t="shared" si="5"/>
        <v>Alto</v>
      </c>
    </row>
    <row r="69" spans="1:70" ht="32.1" customHeight="1">
      <c r="A69" s="597" t="s">
        <v>3772</v>
      </c>
      <c r="B69" s="586" t="s">
        <v>1506</v>
      </c>
      <c r="C69" s="586" t="s">
        <v>1507</v>
      </c>
      <c r="D69" s="399">
        <v>24</v>
      </c>
      <c r="E69" s="47"/>
      <c r="F69" s="47"/>
      <c r="G69" s="47"/>
      <c r="H69" s="465">
        <v>97.35</v>
      </c>
      <c r="I69" s="47"/>
      <c r="J69" s="47"/>
      <c r="K69" s="47"/>
      <c r="L69" s="47"/>
      <c r="M69" s="47"/>
      <c r="N69" s="417"/>
      <c r="O69" s="407"/>
      <c r="P69" s="407"/>
      <c r="Q69" s="314">
        <f t="shared" si="3"/>
        <v>97.35</v>
      </c>
      <c r="R69" s="315" t="str">
        <f t="shared" si="4"/>
        <v>NO</v>
      </c>
      <c r="S69" s="316" t="str">
        <f t="shared" si="5"/>
        <v>Inviable Sanitariamente</v>
      </c>
    </row>
    <row r="70" spans="1:70" ht="32.1" customHeight="1">
      <c r="A70" s="595" t="s">
        <v>3772</v>
      </c>
      <c r="B70" s="586" t="s">
        <v>1508</v>
      </c>
      <c r="C70" s="586" t="s">
        <v>1509</v>
      </c>
      <c r="D70" s="304">
        <v>22</v>
      </c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14"/>
      <c r="R70" s="315"/>
      <c r="S70" s="316"/>
    </row>
    <row r="71" spans="1:70" ht="32.1" customHeight="1">
      <c r="A71" s="595" t="s">
        <v>3772</v>
      </c>
      <c r="B71" s="586" t="s">
        <v>1510</v>
      </c>
      <c r="C71" s="586" t="s">
        <v>1511</v>
      </c>
      <c r="D71" s="304">
        <v>18</v>
      </c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>
        <v>62.9</v>
      </c>
      <c r="P71" s="368"/>
      <c r="Q71" s="314">
        <f t="shared" si="3"/>
        <v>62.9</v>
      </c>
      <c r="R71" s="315" t="str">
        <f t="shared" si="4"/>
        <v>NO</v>
      </c>
      <c r="S71" s="316" t="str">
        <f t="shared" si="5"/>
        <v>Alto</v>
      </c>
    </row>
    <row r="72" spans="1:70" ht="32.1" customHeight="1">
      <c r="A72" s="595" t="s">
        <v>3772</v>
      </c>
      <c r="B72" s="586" t="s">
        <v>1512</v>
      </c>
      <c r="C72" s="586" t="s">
        <v>1513</v>
      </c>
      <c r="D72" s="304">
        <v>15</v>
      </c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14"/>
      <c r="R72" s="315"/>
      <c r="S72" s="316"/>
    </row>
    <row r="73" spans="1:70" ht="32.1" customHeight="1">
      <c r="A73" s="595" t="s">
        <v>3772</v>
      </c>
      <c r="B73" s="586" t="s">
        <v>1514</v>
      </c>
      <c r="C73" s="586" t="s">
        <v>1515</v>
      </c>
      <c r="D73" s="304">
        <v>15</v>
      </c>
      <c r="E73" s="368"/>
      <c r="F73" s="368"/>
      <c r="G73" s="368"/>
      <c r="H73" s="368">
        <v>41.96</v>
      </c>
      <c r="I73" s="368"/>
      <c r="J73" s="368"/>
      <c r="K73" s="368"/>
      <c r="L73" s="368"/>
      <c r="M73" s="368"/>
      <c r="N73" s="368"/>
      <c r="O73" s="368"/>
      <c r="P73" s="368"/>
      <c r="Q73" s="314">
        <f t="shared" si="3"/>
        <v>41.96</v>
      </c>
      <c r="R73" s="315" t="str">
        <f t="shared" si="4"/>
        <v>NO</v>
      </c>
      <c r="S73" s="316" t="str">
        <f t="shared" si="5"/>
        <v>Alto</v>
      </c>
    </row>
    <row r="74" spans="1:70" s="76" customFormat="1" ht="32.1" customHeight="1">
      <c r="A74" s="597" t="s">
        <v>3772</v>
      </c>
      <c r="B74" s="586" t="s">
        <v>439</v>
      </c>
      <c r="C74" s="586" t="s">
        <v>1516</v>
      </c>
      <c r="D74" s="399">
        <v>25</v>
      </c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>
        <v>0</v>
      </c>
      <c r="Q74" s="375">
        <f t="shared" si="3"/>
        <v>0</v>
      </c>
      <c r="R74" s="315" t="str">
        <f t="shared" si="4"/>
        <v>SI</v>
      </c>
      <c r="S74" s="316" t="str">
        <f t="shared" si="5"/>
        <v>Sin Riesgo</v>
      </c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s="76" customFormat="1" ht="32.1" customHeight="1">
      <c r="A75" s="595" t="s">
        <v>3772</v>
      </c>
      <c r="B75" s="586" t="s">
        <v>1517</v>
      </c>
      <c r="C75" s="586" t="s">
        <v>1518</v>
      </c>
      <c r="D75" s="304">
        <v>30</v>
      </c>
      <c r="E75" s="368"/>
      <c r="F75" s="368"/>
      <c r="G75" s="368"/>
      <c r="H75" s="368"/>
      <c r="I75" s="368"/>
      <c r="J75" s="368"/>
      <c r="K75" s="368">
        <v>38.71</v>
      </c>
      <c r="L75" s="368"/>
      <c r="M75" s="368"/>
      <c r="N75" s="368"/>
      <c r="O75" s="368"/>
      <c r="P75" s="368"/>
      <c r="Q75" s="375">
        <f>AVERAGE(E75:P75)</f>
        <v>38.71</v>
      </c>
      <c r="R75" s="320" t="str">
        <f>IF(Q75&lt;5,"SI","NO")</f>
        <v>NO</v>
      </c>
      <c r="S75" s="316" t="str">
        <f t="shared" si="5"/>
        <v>Alto</v>
      </c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s="76" customFormat="1" ht="32.1" customHeight="1">
      <c r="A76" s="452" t="s">
        <v>3772</v>
      </c>
      <c r="B76" s="340" t="s">
        <v>1519</v>
      </c>
      <c r="C76" s="340" t="s">
        <v>1520</v>
      </c>
      <c r="D76" s="399">
        <v>26</v>
      </c>
      <c r="E76" s="407"/>
      <c r="F76" s="407"/>
      <c r="G76" s="407">
        <v>53.1</v>
      </c>
      <c r="H76" s="407"/>
      <c r="I76" s="407"/>
      <c r="J76" s="407"/>
      <c r="K76" s="407">
        <v>53.1</v>
      </c>
      <c r="L76" s="407"/>
      <c r="M76" s="407"/>
      <c r="N76" s="407"/>
      <c r="O76" s="407"/>
      <c r="P76" s="407"/>
      <c r="Q76" s="375">
        <f>AVERAGE(E76:P76)</f>
        <v>53.1</v>
      </c>
      <c r="R76" s="320" t="str">
        <f>IF(Q76&lt;5,"SI","NO")</f>
        <v>NO</v>
      </c>
      <c r="S76" s="316" t="str">
        <f t="shared" si="5"/>
        <v>Alto</v>
      </c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s="76" customFormat="1" ht="32.1" customHeight="1">
      <c r="A77" s="452" t="s">
        <v>3772</v>
      </c>
      <c r="B77" s="340" t="s">
        <v>1521</v>
      </c>
      <c r="C77" s="340" t="s">
        <v>1522</v>
      </c>
      <c r="D77" s="346">
        <v>46</v>
      </c>
      <c r="E77" s="407"/>
      <c r="F77" s="407"/>
      <c r="G77" s="407">
        <v>26.55</v>
      </c>
      <c r="H77" s="407"/>
      <c r="I77" s="407"/>
      <c r="J77" s="407"/>
      <c r="K77" s="407"/>
      <c r="L77" s="407"/>
      <c r="M77" s="407"/>
      <c r="N77" s="407"/>
      <c r="O77" s="407"/>
      <c r="P77" s="407"/>
      <c r="Q77" s="375">
        <f>AVERAGE(E77:P77)</f>
        <v>26.55</v>
      </c>
      <c r="R77" s="320" t="str">
        <f>IF(Q77&lt;5,"SI","NO")</f>
        <v>NO</v>
      </c>
      <c r="S77" s="316" t="str">
        <f t="shared" si="5"/>
        <v>Medio</v>
      </c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s="76" customFormat="1" ht="32.1" customHeight="1">
      <c r="A78" s="452" t="s">
        <v>3772</v>
      </c>
      <c r="B78" s="340" t="s">
        <v>1523</v>
      </c>
      <c r="C78" s="340" t="s">
        <v>1524</v>
      </c>
      <c r="D78" s="346">
        <v>19</v>
      </c>
      <c r="E78" s="407"/>
      <c r="F78" s="407"/>
      <c r="G78" s="407">
        <v>53.1</v>
      </c>
      <c r="H78" s="407"/>
      <c r="I78" s="407"/>
      <c r="J78" s="407"/>
      <c r="K78" s="407"/>
      <c r="L78" s="407"/>
      <c r="M78" s="407"/>
      <c r="N78" s="407"/>
      <c r="O78" s="407"/>
      <c r="P78" s="407"/>
      <c r="Q78" s="376">
        <f>AVERAGE(E78:P78)</f>
        <v>53.1</v>
      </c>
      <c r="R78" s="320" t="str">
        <f>IF(Q78&lt;5,"SI","NO")</f>
        <v>NO</v>
      </c>
      <c r="S78" s="316" t="str">
        <f t="shared" si="5"/>
        <v>Alto</v>
      </c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</row>
    <row r="79" spans="1:70" s="76" customFormat="1" ht="32.1" customHeight="1">
      <c r="A79" s="452" t="s">
        <v>3772</v>
      </c>
      <c r="B79" s="340" t="s">
        <v>4308</v>
      </c>
      <c r="C79" s="340" t="s">
        <v>4309</v>
      </c>
      <c r="D79" s="346">
        <v>18</v>
      </c>
      <c r="E79" s="407"/>
      <c r="F79" s="407">
        <v>0</v>
      </c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24">
        <f t="shared" ref="Q79:Q85" si="6">AVERAGE(E79:P79)</f>
        <v>0</v>
      </c>
      <c r="R79" s="315" t="str">
        <f t="shared" ref="R79:R85" si="7">IF(Q79&lt;5,"SI","NO")</f>
        <v>SI</v>
      </c>
      <c r="S79" s="316" t="str">
        <f t="shared" si="5"/>
        <v>Sin Riesgo</v>
      </c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</row>
    <row r="80" spans="1:70" s="76" customFormat="1" ht="32.1" customHeight="1">
      <c r="A80" s="452" t="s">
        <v>3772</v>
      </c>
      <c r="B80" s="552" t="s">
        <v>4395</v>
      </c>
      <c r="C80" s="552" t="s">
        <v>4396</v>
      </c>
      <c r="D80" s="411">
        <v>45</v>
      </c>
      <c r="E80" s="407"/>
      <c r="F80" s="407">
        <v>0</v>
      </c>
      <c r="G80" s="407"/>
      <c r="H80" s="407"/>
      <c r="I80" s="407"/>
      <c r="J80" s="407"/>
      <c r="K80" s="407"/>
      <c r="L80" s="407"/>
      <c r="M80" s="407"/>
      <c r="N80" s="407"/>
      <c r="O80" s="407">
        <v>0</v>
      </c>
      <c r="P80" s="407"/>
      <c r="Q80" s="424">
        <f t="shared" si="6"/>
        <v>0</v>
      </c>
      <c r="R80" s="315" t="str">
        <f t="shared" si="7"/>
        <v>SI</v>
      </c>
      <c r="S80" s="316" t="str">
        <f t="shared" si="5"/>
        <v>Sin Riesgo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</row>
    <row r="81" spans="1:70" s="76" customFormat="1" ht="32.1" customHeight="1">
      <c r="A81" s="452" t="s">
        <v>3772</v>
      </c>
      <c r="B81" s="552" t="s">
        <v>4397</v>
      </c>
      <c r="C81" s="552" t="s">
        <v>4398</v>
      </c>
      <c r="D81" s="411">
        <v>68</v>
      </c>
      <c r="E81" s="407"/>
      <c r="F81" s="407"/>
      <c r="G81" s="407">
        <v>0</v>
      </c>
      <c r="H81" s="407"/>
      <c r="I81" s="407"/>
      <c r="J81" s="407"/>
      <c r="K81" s="407"/>
      <c r="L81" s="407"/>
      <c r="M81" s="407"/>
      <c r="N81" s="407"/>
      <c r="O81" s="407"/>
      <c r="P81" s="407">
        <v>0</v>
      </c>
      <c r="Q81" s="424">
        <f t="shared" si="6"/>
        <v>0</v>
      </c>
      <c r="R81" s="315" t="str">
        <f t="shared" si="7"/>
        <v>SI</v>
      </c>
      <c r="S81" s="316" t="str">
        <f t="shared" si="5"/>
        <v>Sin Riesgo</v>
      </c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</row>
    <row r="82" spans="1:70" s="76" customFormat="1" ht="32.1" customHeight="1">
      <c r="A82" s="452" t="s">
        <v>3772</v>
      </c>
      <c r="B82" s="552" t="s">
        <v>4399</v>
      </c>
      <c r="C82" s="552" t="s">
        <v>4400</v>
      </c>
      <c r="D82" s="411">
        <v>27</v>
      </c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>
        <v>0</v>
      </c>
      <c r="P82" s="407">
        <v>0</v>
      </c>
      <c r="Q82" s="424">
        <f t="shared" si="6"/>
        <v>0</v>
      </c>
      <c r="R82" s="315" t="str">
        <f t="shared" si="7"/>
        <v>SI</v>
      </c>
      <c r="S82" s="316" t="str">
        <f t="shared" si="5"/>
        <v>Sin Riesgo</v>
      </c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</row>
    <row r="83" spans="1:70" s="76" customFormat="1" ht="32.1" customHeight="1">
      <c r="A83" s="452" t="s">
        <v>3772</v>
      </c>
      <c r="B83" s="552" t="s">
        <v>4401</v>
      </c>
      <c r="C83" s="552" t="s">
        <v>4402</v>
      </c>
      <c r="D83" s="411">
        <v>30</v>
      </c>
      <c r="E83" s="407">
        <v>0</v>
      </c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>
        <v>0</v>
      </c>
      <c r="Q83" s="424">
        <f t="shared" si="6"/>
        <v>0</v>
      </c>
      <c r="R83" s="315" t="str">
        <f t="shared" si="7"/>
        <v>SI</v>
      </c>
      <c r="S83" s="316" t="str">
        <f t="shared" si="5"/>
        <v>Sin Riesgo</v>
      </c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</row>
    <row r="84" spans="1:70" s="76" customFormat="1" ht="32.1" customHeight="1">
      <c r="A84" s="452" t="s">
        <v>3772</v>
      </c>
      <c r="B84" s="552" t="s">
        <v>4403</v>
      </c>
      <c r="C84" s="552" t="s">
        <v>4404</v>
      </c>
      <c r="D84" s="411">
        <v>37</v>
      </c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>
        <v>0</v>
      </c>
      <c r="P84" s="407">
        <v>0</v>
      </c>
      <c r="Q84" s="424">
        <f t="shared" si="6"/>
        <v>0</v>
      </c>
      <c r="R84" s="315" t="str">
        <f t="shared" si="7"/>
        <v>SI</v>
      </c>
      <c r="S84" s="316" t="str">
        <f t="shared" si="5"/>
        <v>Sin Riesgo</v>
      </c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</row>
    <row r="85" spans="1:70" s="76" customFormat="1" ht="32.1" customHeight="1">
      <c r="A85" s="452" t="s">
        <v>3772</v>
      </c>
      <c r="B85" s="552" t="s">
        <v>4405</v>
      </c>
      <c r="C85" s="552" t="s">
        <v>4406</v>
      </c>
      <c r="D85" s="411">
        <v>38</v>
      </c>
      <c r="E85" s="407"/>
      <c r="F85" s="407"/>
      <c r="G85" s="407"/>
      <c r="H85" s="407">
        <v>0</v>
      </c>
      <c r="I85" s="407"/>
      <c r="J85" s="407"/>
      <c r="K85" s="407"/>
      <c r="L85" s="407"/>
      <c r="M85" s="407"/>
      <c r="N85" s="407"/>
      <c r="O85" s="407"/>
      <c r="P85" s="407">
        <v>0</v>
      </c>
      <c r="Q85" s="424">
        <f t="shared" si="6"/>
        <v>0</v>
      </c>
      <c r="R85" s="315" t="str">
        <f t="shared" si="7"/>
        <v>SI</v>
      </c>
      <c r="S85" s="316" t="str">
        <f t="shared" si="5"/>
        <v>Sin Riesgo</v>
      </c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</row>
    <row r="86" spans="1:70" s="76" customFormat="1" ht="32.1" customHeight="1">
      <c r="A86" s="80"/>
      <c r="B86" s="90"/>
      <c r="C86" s="90"/>
      <c r="D86" s="90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132"/>
      <c r="R86" s="133"/>
      <c r="S86" s="134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</row>
    <row r="87" spans="1:70" s="76" customFormat="1" ht="32.1" customHeight="1">
      <c r="A87" s="266" t="s">
        <v>3920</v>
      </c>
      <c r="B87" s="266" t="s">
        <v>3967</v>
      </c>
      <c r="C87" s="690"/>
      <c r="D87" s="691"/>
      <c r="E87" s="691"/>
      <c r="F87" s="691"/>
      <c r="G87" s="691"/>
      <c r="H87" s="691"/>
      <c r="I87" s="691"/>
      <c r="J87" s="691"/>
      <c r="K87" s="691"/>
      <c r="L87" s="691"/>
      <c r="M87" s="691"/>
      <c r="N87" s="691"/>
      <c r="O87" s="691"/>
      <c r="P87" s="691"/>
      <c r="Q87" s="691"/>
      <c r="R87" s="691"/>
      <c r="S87" s="6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</row>
    <row r="88" spans="1:70" s="76" customFormat="1" ht="32.1" customHeight="1">
      <c r="A88" s="270" t="s">
        <v>3881</v>
      </c>
      <c r="B88" s="271">
        <f>COUNTIF(E11:P85,"&lt;=5")</f>
        <v>57</v>
      </c>
      <c r="C88" s="690"/>
      <c r="D88" s="691"/>
      <c r="E88" s="691"/>
      <c r="F88" s="691"/>
      <c r="G88" s="691"/>
      <c r="H88" s="691"/>
      <c r="I88" s="691"/>
      <c r="J88" s="691"/>
      <c r="K88" s="691"/>
      <c r="L88" s="691"/>
      <c r="M88" s="691"/>
      <c r="N88" s="691"/>
      <c r="O88" s="691"/>
      <c r="P88" s="691"/>
      <c r="Q88" s="691"/>
      <c r="R88" s="691"/>
      <c r="S88" s="6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</row>
    <row r="89" spans="1:70" s="76" customFormat="1" ht="32.1" customHeight="1">
      <c r="A89" s="257" t="s">
        <v>3882</v>
      </c>
      <c r="B89" s="268">
        <f>COUNTIFS(E11:P85,"&gt;5",E11:P85,"&lt;=14")</f>
        <v>3</v>
      </c>
      <c r="C89" s="690"/>
      <c r="D89" s="691"/>
      <c r="E89" s="691"/>
      <c r="F89" s="691"/>
      <c r="G89" s="691"/>
      <c r="H89" s="691"/>
      <c r="I89" s="691"/>
      <c r="J89" s="691"/>
      <c r="K89" s="691"/>
      <c r="L89" s="691"/>
      <c r="M89" s="691"/>
      <c r="N89" s="691"/>
      <c r="O89" s="691"/>
      <c r="P89" s="691"/>
      <c r="Q89" s="691"/>
      <c r="R89" s="691"/>
      <c r="S89" s="6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</row>
    <row r="90" spans="1:70" s="76" customFormat="1" ht="32.1" customHeight="1">
      <c r="A90" s="258" t="s">
        <v>3883</v>
      </c>
      <c r="B90" s="267">
        <f>COUNTIFS(E11:P85,"&gt;14",E11:P85,"&lt;=35")</f>
        <v>11</v>
      </c>
      <c r="C90" s="690"/>
      <c r="D90" s="691"/>
      <c r="E90" s="691"/>
      <c r="F90" s="691"/>
      <c r="G90" s="691"/>
      <c r="H90" s="691"/>
      <c r="I90" s="691"/>
      <c r="J90" s="691"/>
      <c r="K90" s="691"/>
      <c r="L90" s="691"/>
      <c r="M90" s="691"/>
      <c r="N90" s="691"/>
      <c r="O90" s="691"/>
      <c r="P90" s="691"/>
      <c r="Q90" s="691"/>
      <c r="R90" s="691"/>
      <c r="S90" s="6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</row>
    <row r="91" spans="1:70" s="76" customFormat="1" ht="32.1" customHeight="1">
      <c r="A91" s="259" t="s">
        <v>3884</v>
      </c>
      <c r="B91" s="267">
        <f>COUNTIFS(E11:P85,"&gt;35",E11:P85,"&lt;=80")</f>
        <v>29</v>
      </c>
      <c r="C91" s="504"/>
      <c r="D91" s="90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135"/>
      <c r="R91" s="136"/>
      <c r="S91" s="137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</row>
    <row r="92" spans="1:70" ht="36.75" customHeight="1">
      <c r="A92" s="260" t="s">
        <v>3885</v>
      </c>
      <c r="B92" s="267">
        <f>COUNTIFS(E11:P85,"&gt;80",E11:P85,"&lt;=100")</f>
        <v>21</v>
      </c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</row>
    <row r="93" spans="1:70" ht="30.75" customHeight="1">
      <c r="A93" s="279" t="s">
        <v>3886</v>
      </c>
      <c r="B93" s="280">
        <f>COUNT(E11:P85)</f>
        <v>121</v>
      </c>
    </row>
    <row r="94" spans="1:70" ht="36.75" customHeight="1">
      <c r="A94" s="263" t="s">
        <v>3888</v>
      </c>
      <c r="B94" s="265">
        <f>B93-B88</f>
        <v>64</v>
      </c>
    </row>
  </sheetData>
  <autoFilter ref="A10:BR85" xr:uid="{00000000-0009-0000-0000-000006000000}">
    <sortState ref="A12:BR79">
      <sortCondition ref="A10:A79"/>
    </sortState>
  </autoFilter>
  <customSheetViews>
    <customSheetView guid="{75DD7674-E7DE-4BB1-A36D-76AA33452CB3}" scale="60" showPageBreaks="1" showAutoFilter="1">
      <pane xSplit="3" ySplit="7" topLeftCell="D8" activePane="bottomRight" state="frozenSplit"/>
      <selection pane="bottomRight" activeCell="M74" sqref="M74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0:BR79" xr:uid="{00000000-0000-0000-0000-000000000000}">
        <sortState ref="A12:BR79">
          <sortCondition ref="A10:A79"/>
        </sortState>
      </autoFilter>
    </customSheetView>
    <customSheetView guid="{AEDE1BDB-8710-4CDA-8488-31F49D423ACE}" scale="60" showPageBreaks="1">
      <pane xSplit="3" ySplit="7" topLeftCell="S68" activePane="bottomRight" state="frozenSplit"/>
      <selection pane="bottomRight" activeCell="S92" sqref="S9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showPageBreaks="1">
      <pane xSplit="3" ySplit="7" topLeftCell="G8" activePane="bottomRight" state="frozenSplit"/>
      <selection pane="bottomRight" activeCell="A43" sqref="A43:S44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45C8AF51-29EC-46A5-AB7F-1F0634E55D82}" scale="60" showPageBreaks="1">
      <pane xSplit="2.2000000000000002" ySplit="7" topLeftCell="D51" activePane="bottomRight" state="frozenSplit"/>
      <selection pane="bottomRight" activeCell="A79" sqref="A59:A79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</customSheetViews>
  <mergeCells count="21">
    <mergeCell ref="A7:B7"/>
    <mergeCell ref="C87:S88"/>
    <mergeCell ref="D9:D10"/>
    <mergeCell ref="A9:A10"/>
    <mergeCell ref="B9:B10"/>
    <mergeCell ref="C89:S90"/>
    <mergeCell ref="S9:S10"/>
    <mergeCell ref="C9:C10"/>
    <mergeCell ref="R9:R10"/>
    <mergeCell ref="Q9:Q10"/>
    <mergeCell ref="E9:P9"/>
    <mergeCell ref="B1:D1"/>
    <mergeCell ref="B2:D2"/>
    <mergeCell ref="B3:D3"/>
    <mergeCell ref="E5:G6"/>
    <mergeCell ref="B5:C6"/>
    <mergeCell ref="H5:J6"/>
    <mergeCell ref="K5:M6"/>
    <mergeCell ref="N5:P6"/>
    <mergeCell ref="Q5:R6"/>
    <mergeCell ref="S5:S6"/>
  </mergeCells>
  <phoneticPr fontId="2" type="noConversion"/>
  <conditionalFormatting sqref="Q12:Q22 E15:P19 E46:P46 Q45:Q73 E25:Q43 Q24 E48:P48 E58:P58 E63:P64 E70:P73 E75:P75">
    <cfRule type="containsBlanks" dxfId="4765" priority="1041" stopIfTrue="1">
      <formula>LEN(TRIM(E12))=0</formula>
    </cfRule>
    <cfRule type="cellIs" dxfId="4764" priority="1042" stopIfTrue="1" operator="between">
      <formula>80.1</formula>
      <formula>100</formula>
    </cfRule>
    <cfRule type="cellIs" dxfId="4763" priority="1043" stopIfTrue="1" operator="between">
      <formula>35.1</formula>
      <formula>80</formula>
    </cfRule>
    <cfRule type="cellIs" dxfId="4762" priority="1044" stopIfTrue="1" operator="between">
      <formula>14.1</formula>
      <formula>35</formula>
    </cfRule>
    <cfRule type="cellIs" dxfId="4761" priority="1045" stopIfTrue="1" operator="between">
      <formula>5.1</formula>
      <formula>14</formula>
    </cfRule>
    <cfRule type="cellIs" dxfId="4760" priority="1046" stopIfTrue="1" operator="between">
      <formula>0</formula>
      <formula>5</formula>
    </cfRule>
    <cfRule type="containsBlanks" dxfId="4759" priority="1047" stopIfTrue="1">
      <formula>LEN(TRIM(E12))=0</formula>
    </cfRule>
  </conditionalFormatting>
  <conditionalFormatting sqref="J41">
    <cfRule type="containsBlanks" dxfId="4758" priority="832" stopIfTrue="1">
      <formula>LEN(TRIM(J41))=0</formula>
    </cfRule>
    <cfRule type="cellIs" dxfId="4757" priority="833" stopIfTrue="1" operator="between">
      <formula>79.1</formula>
      <formula>100</formula>
    </cfRule>
    <cfRule type="cellIs" dxfId="4756" priority="834" stopIfTrue="1" operator="between">
      <formula>34.1</formula>
      <formula>79</formula>
    </cfRule>
    <cfRule type="cellIs" dxfId="4755" priority="835" stopIfTrue="1" operator="between">
      <formula>13.1</formula>
      <formula>34</formula>
    </cfRule>
    <cfRule type="cellIs" dxfId="4754" priority="836" stopIfTrue="1" operator="between">
      <formula>5.1</formula>
      <formula>13</formula>
    </cfRule>
    <cfRule type="cellIs" dxfId="4753" priority="837" stopIfTrue="1" operator="between">
      <formula>0</formula>
      <formula>5</formula>
    </cfRule>
    <cfRule type="containsBlanks" dxfId="4752" priority="838" stopIfTrue="1">
      <formula>LEN(TRIM(J41))=0</formula>
    </cfRule>
  </conditionalFormatting>
  <conditionalFormatting sqref="L48:P48">
    <cfRule type="containsBlanks" dxfId="4751" priority="615" stopIfTrue="1">
      <formula>LEN(TRIM(L48))=0</formula>
    </cfRule>
    <cfRule type="cellIs" dxfId="4750" priority="616" stopIfTrue="1" operator="between">
      <formula>79.1</formula>
      <formula>100</formula>
    </cfRule>
    <cfRule type="cellIs" dxfId="4749" priority="617" stopIfTrue="1" operator="between">
      <formula>34.1</formula>
      <formula>79</formula>
    </cfRule>
    <cfRule type="cellIs" dxfId="4748" priority="618" stopIfTrue="1" operator="between">
      <formula>13.1</formula>
      <formula>34</formula>
    </cfRule>
    <cfRule type="cellIs" dxfId="4747" priority="619" stopIfTrue="1" operator="between">
      <formula>5.1</formula>
      <formula>13</formula>
    </cfRule>
    <cfRule type="cellIs" dxfId="4746" priority="620" stopIfTrue="1" operator="between">
      <formula>0</formula>
      <formula>5</formula>
    </cfRule>
    <cfRule type="containsBlanks" dxfId="4745" priority="621" stopIfTrue="1">
      <formula>LEN(TRIM(L48))=0</formula>
    </cfRule>
  </conditionalFormatting>
  <conditionalFormatting sqref="G63:G64">
    <cfRule type="containsBlanks" dxfId="4744" priority="580" stopIfTrue="1">
      <formula>LEN(TRIM(G63))=0</formula>
    </cfRule>
    <cfRule type="cellIs" dxfId="4743" priority="581" stopIfTrue="1" operator="between">
      <formula>79.1</formula>
      <formula>100</formula>
    </cfRule>
    <cfRule type="cellIs" dxfId="4742" priority="582" stopIfTrue="1" operator="between">
      <formula>34.1</formula>
      <formula>79</formula>
    </cfRule>
    <cfRule type="cellIs" dxfId="4741" priority="583" stopIfTrue="1" operator="between">
      <formula>13.1</formula>
      <formula>34</formula>
    </cfRule>
    <cfRule type="cellIs" dxfId="4740" priority="584" stopIfTrue="1" operator="between">
      <formula>5.1</formula>
      <formula>13</formula>
    </cfRule>
    <cfRule type="cellIs" dxfId="4739" priority="585" stopIfTrue="1" operator="between">
      <formula>0</formula>
      <formula>5</formula>
    </cfRule>
    <cfRule type="containsBlanks" dxfId="4738" priority="586" stopIfTrue="1">
      <formula>LEN(TRIM(G63))=0</formula>
    </cfRule>
  </conditionalFormatting>
  <conditionalFormatting sqref="K58:P58 E63:F64 P71 K70:P70 K63:P64">
    <cfRule type="containsBlanks" dxfId="4737" priority="762" stopIfTrue="1">
      <formula>LEN(TRIM(E58))=0</formula>
    </cfRule>
    <cfRule type="cellIs" dxfId="4736" priority="763" stopIfTrue="1" operator="between">
      <formula>79.1</formula>
      <formula>100</formula>
    </cfRule>
    <cfRule type="cellIs" dxfId="4735" priority="764" stopIfTrue="1" operator="between">
      <formula>34.1</formula>
      <formula>79</formula>
    </cfRule>
    <cfRule type="cellIs" dxfId="4734" priority="765" stopIfTrue="1" operator="between">
      <formula>13.1</formula>
      <formula>34</formula>
    </cfRule>
    <cfRule type="cellIs" dxfId="4733" priority="766" stopIfTrue="1" operator="between">
      <formula>5.1</formula>
      <formula>13</formula>
    </cfRule>
    <cfRule type="cellIs" dxfId="4732" priority="767" stopIfTrue="1" operator="between">
      <formula>0</formula>
      <formula>5</formula>
    </cfRule>
    <cfRule type="containsBlanks" dxfId="4731" priority="768" stopIfTrue="1">
      <formula>LEN(TRIM(E58))=0</formula>
    </cfRule>
  </conditionalFormatting>
  <conditionalFormatting sqref="K41:P41">
    <cfRule type="containsBlanks" dxfId="4730" priority="622" stopIfTrue="1">
      <formula>LEN(TRIM(K41))=0</formula>
    </cfRule>
    <cfRule type="cellIs" dxfId="4729" priority="623" stopIfTrue="1" operator="between">
      <formula>79.1</formula>
      <formula>100</formula>
    </cfRule>
    <cfRule type="cellIs" dxfId="4728" priority="624" stopIfTrue="1" operator="between">
      <formula>34.1</formula>
      <formula>79</formula>
    </cfRule>
    <cfRule type="cellIs" dxfId="4727" priority="625" stopIfTrue="1" operator="between">
      <formula>13.1</formula>
      <formula>34</formula>
    </cfRule>
    <cfRule type="cellIs" dxfId="4726" priority="626" stopIfTrue="1" operator="between">
      <formula>5.1</formula>
      <formula>13</formula>
    </cfRule>
    <cfRule type="cellIs" dxfId="4725" priority="627" stopIfTrue="1" operator="between">
      <formula>0</formula>
      <formula>5</formula>
    </cfRule>
    <cfRule type="containsBlanks" dxfId="4724" priority="628" stopIfTrue="1">
      <formula>LEN(TRIM(K41))=0</formula>
    </cfRule>
  </conditionalFormatting>
  <conditionalFormatting sqref="J63:J64">
    <cfRule type="containsBlanks" dxfId="4723" priority="552" stopIfTrue="1">
      <formula>LEN(TRIM(J63))=0</formula>
    </cfRule>
    <cfRule type="cellIs" dxfId="4722" priority="553" stopIfTrue="1" operator="between">
      <formula>79.1</formula>
      <formula>100</formula>
    </cfRule>
    <cfRule type="cellIs" dxfId="4721" priority="554" stopIfTrue="1" operator="between">
      <formula>34.1</formula>
      <formula>79</formula>
    </cfRule>
    <cfRule type="cellIs" dxfId="4720" priority="555" stopIfTrue="1" operator="between">
      <formula>13.1</formula>
      <formula>34</formula>
    </cfRule>
    <cfRule type="cellIs" dxfId="4719" priority="556" stopIfTrue="1" operator="between">
      <formula>5.1</formula>
      <formula>13</formula>
    </cfRule>
    <cfRule type="cellIs" dxfId="4718" priority="557" stopIfTrue="1" operator="between">
      <formula>0</formula>
      <formula>5</formula>
    </cfRule>
    <cfRule type="containsBlanks" dxfId="4717" priority="558" stopIfTrue="1">
      <formula>LEN(TRIM(J63))=0</formula>
    </cfRule>
  </conditionalFormatting>
  <conditionalFormatting sqref="K42:P42">
    <cfRule type="containsBlanks" dxfId="4716" priority="608" stopIfTrue="1">
      <formula>LEN(TRIM(K42))=0</formula>
    </cfRule>
    <cfRule type="cellIs" dxfId="4715" priority="609" stopIfTrue="1" operator="between">
      <formula>79.1</formula>
      <formula>100</formula>
    </cfRule>
    <cfRule type="cellIs" dxfId="4714" priority="610" stopIfTrue="1" operator="between">
      <formula>34.1</formula>
      <formula>79</formula>
    </cfRule>
    <cfRule type="cellIs" dxfId="4713" priority="611" stopIfTrue="1" operator="between">
      <formula>13.1</formula>
      <formula>34</formula>
    </cfRule>
    <cfRule type="cellIs" dxfId="4712" priority="612" stopIfTrue="1" operator="between">
      <formula>5.1</formula>
      <formula>13</formula>
    </cfRule>
    <cfRule type="cellIs" dxfId="4711" priority="613" stopIfTrue="1" operator="between">
      <formula>0</formula>
      <formula>5</formula>
    </cfRule>
    <cfRule type="containsBlanks" dxfId="4710" priority="614" stopIfTrue="1">
      <formula>LEN(TRIM(K42))=0</formula>
    </cfRule>
  </conditionalFormatting>
  <conditionalFormatting sqref="I63:I64">
    <cfRule type="containsBlanks" dxfId="4709" priority="601" stopIfTrue="1">
      <formula>LEN(TRIM(I63))=0</formula>
    </cfRule>
    <cfRule type="cellIs" dxfId="4708" priority="602" stopIfTrue="1" operator="between">
      <formula>79.1</formula>
      <formula>100</formula>
    </cfRule>
    <cfRule type="cellIs" dxfId="4707" priority="603" stopIfTrue="1" operator="between">
      <formula>34.1</formula>
      <formula>79</formula>
    </cfRule>
    <cfRule type="cellIs" dxfId="4706" priority="604" stopIfTrue="1" operator="between">
      <formula>13.1</formula>
      <formula>34</formula>
    </cfRule>
    <cfRule type="cellIs" dxfId="4705" priority="605" stopIfTrue="1" operator="between">
      <formula>5.1</formula>
      <formula>13</formula>
    </cfRule>
    <cfRule type="cellIs" dxfId="4704" priority="606" stopIfTrue="1" operator="between">
      <formula>0</formula>
      <formula>5</formula>
    </cfRule>
    <cfRule type="containsBlanks" dxfId="4703" priority="607" stopIfTrue="1">
      <formula>LEN(TRIM(I63))=0</formula>
    </cfRule>
  </conditionalFormatting>
  <conditionalFormatting sqref="H63:H64">
    <cfRule type="containsBlanks" dxfId="4702" priority="573" stopIfTrue="1">
      <formula>LEN(TRIM(H63))=0</formula>
    </cfRule>
    <cfRule type="cellIs" dxfId="4701" priority="574" stopIfTrue="1" operator="between">
      <formula>79.1</formula>
      <formula>100</formula>
    </cfRule>
    <cfRule type="cellIs" dxfId="4700" priority="575" stopIfTrue="1" operator="between">
      <formula>34.1</formula>
      <formula>79</formula>
    </cfRule>
    <cfRule type="cellIs" dxfId="4699" priority="576" stopIfTrue="1" operator="between">
      <formula>13.1</formula>
      <formula>34</formula>
    </cfRule>
    <cfRule type="cellIs" dxfId="4698" priority="577" stopIfTrue="1" operator="between">
      <formula>5.1</formula>
      <formula>13</formula>
    </cfRule>
    <cfRule type="cellIs" dxfId="4697" priority="578" stopIfTrue="1" operator="between">
      <formula>0</formula>
      <formula>5</formula>
    </cfRule>
    <cfRule type="containsBlanks" dxfId="4696" priority="579" stopIfTrue="1">
      <formula>LEN(TRIM(H63))=0</formula>
    </cfRule>
  </conditionalFormatting>
  <conditionalFormatting sqref="R12:R22 R24:R74">
    <cfRule type="cellIs" dxfId="4695" priority="488" stopIfTrue="1" operator="equal">
      <formula>"NO"</formula>
    </cfRule>
  </conditionalFormatting>
  <conditionalFormatting sqref="E37:K37">
    <cfRule type="containsBlanks" dxfId="4694" priority="468" stopIfTrue="1">
      <formula>LEN(TRIM(E37))=0</formula>
    </cfRule>
    <cfRule type="cellIs" dxfId="4693" priority="469" stopIfTrue="1" operator="between">
      <formula>80.1</formula>
      <formula>100</formula>
    </cfRule>
    <cfRule type="cellIs" dxfId="4692" priority="470" stopIfTrue="1" operator="between">
      <formula>35.1</formula>
      <formula>80</formula>
    </cfRule>
    <cfRule type="cellIs" dxfId="4691" priority="471" stopIfTrue="1" operator="between">
      <formula>14.1</formula>
      <formula>35</formula>
    </cfRule>
    <cfRule type="cellIs" dxfId="4690" priority="472" stopIfTrue="1" operator="between">
      <formula>5.1</formula>
      <formula>14</formula>
    </cfRule>
    <cfRule type="cellIs" dxfId="4689" priority="473" stopIfTrue="1" operator="between">
      <formula>0</formula>
      <formula>5</formula>
    </cfRule>
    <cfRule type="containsBlanks" dxfId="4688" priority="474" stopIfTrue="1">
      <formula>LEN(TRIM(E37))=0</formula>
    </cfRule>
  </conditionalFormatting>
  <conditionalFormatting sqref="E33:K33">
    <cfRule type="containsBlanks" dxfId="4687" priority="461" stopIfTrue="1">
      <formula>LEN(TRIM(E33))=0</formula>
    </cfRule>
    <cfRule type="cellIs" dxfId="4686" priority="462" stopIfTrue="1" operator="between">
      <formula>80.1</formula>
      <formula>100</formula>
    </cfRule>
    <cfRule type="cellIs" dxfId="4685" priority="463" stopIfTrue="1" operator="between">
      <formula>35.1</formula>
      <formula>80</formula>
    </cfRule>
    <cfRule type="cellIs" dxfId="4684" priority="464" stopIfTrue="1" operator="between">
      <formula>14.1</formula>
      <formula>35</formula>
    </cfRule>
    <cfRule type="cellIs" dxfId="4683" priority="465" stopIfTrue="1" operator="between">
      <formula>5.1</formula>
      <formula>14</formula>
    </cfRule>
    <cfRule type="cellIs" dxfId="4682" priority="466" stopIfTrue="1" operator="between">
      <formula>0</formula>
      <formula>5</formula>
    </cfRule>
    <cfRule type="containsBlanks" dxfId="4681" priority="467" stopIfTrue="1">
      <formula>LEN(TRIM(E33))=0</formula>
    </cfRule>
  </conditionalFormatting>
  <conditionalFormatting sqref="E34:K34">
    <cfRule type="containsBlanks" dxfId="4680" priority="454" stopIfTrue="1">
      <formula>LEN(TRIM(E34))=0</formula>
    </cfRule>
    <cfRule type="cellIs" dxfId="4679" priority="455" stopIfTrue="1" operator="between">
      <formula>80.1</formula>
      <formula>100</formula>
    </cfRule>
    <cfRule type="cellIs" dxfId="4678" priority="456" stopIfTrue="1" operator="between">
      <formula>35.1</formula>
      <formula>80</formula>
    </cfRule>
    <cfRule type="cellIs" dxfId="4677" priority="457" stopIfTrue="1" operator="between">
      <formula>14.1</formula>
      <formula>35</formula>
    </cfRule>
    <cfRule type="cellIs" dxfId="4676" priority="458" stopIfTrue="1" operator="between">
      <formula>5.1</formula>
      <formula>14</formula>
    </cfRule>
    <cfRule type="cellIs" dxfId="4675" priority="459" stopIfTrue="1" operator="between">
      <formula>0</formula>
      <formula>5</formula>
    </cfRule>
    <cfRule type="containsBlanks" dxfId="4674" priority="460" stopIfTrue="1">
      <formula>LEN(TRIM(E34))=0</formula>
    </cfRule>
  </conditionalFormatting>
  <conditionalFormatting sqref="E36:K36">
    <cfRule type="containsBlanks" dxfId="4673" priority="447" stopIfTrue="1">
      <formula>LEN(TRIM(E36))=0</formula>
    </cfRule>
    <cfRule type="cellIs" dxfId="4672" priority="448" stopIfTrue="1" operator="between">
      <formula>80.1</formula>
      <formula>100</formula>
    </cfRule>
    <cfRule type="cellIs" dxfId="4671" priority="449" stopIfTrue="1" operator="between">
      <formula>35.1</formula>
      <formula>80</formula>
    </cfRule>
    <cfRule type="cellIs" dxfId="4670" priority="450" stopIfTrue="1" operator="between">
      <formula>14.1</formula>
      <formula>35</formula>
    </cfRule>
    <cfRule type="cellIs" dxfId="4669" priority="451" stopIfTrue="1" operator="between">
      <formula>5.1</formula>
      <formula>14</formula>
    </cfRule>
    <cfRule type="cellIs" dxfId="4668" priority="452" stopIfTrue="1" operator="between">
      <formula>0</formula>
      <formula>5</formula>
    </cfRule>
    <cfRule type="containsBlanks" dxfId="4667" priority="453" stopIfTrue="1">
      <formula>LEN(TRIM(E36))=0</formula>
    </cfRule>
  </conditionalFormatting>
  <conditionalFormatting sqref="E35:L35">
    <cfRule type="containsBlanks" dxfId="4666" priority="440" stopIfTrue="1">
      <formula>LEN(TRIM(E35))=0</formula>
    </cfRule>
    <cfRule type="cellIs" dxfId="4665" priority="441" stopIfTrue="1" operator="between">
      <formula>80.1</formula>
      <formula>100</formula>
    </cfRule>
    <cfRule type="cellIs" dxfId="4664" priority="442" stopIfTrue="1" operator="between">
      <formula>35.1</formula>
      <formula>80</formula>
    </cfRule>
    <cfRule type="cellIs" dxfId="4663" priority="443" stopIfTrue="1" operator="between">
      <formula>14.1</formula>
      <formula>35</formula>
    </cfRule>
    <cfRule type="cellIs" dxfId="4662" priority="444" stopIfTrue="1" operator="between">
      <formula>5.1</formula>
      <formula>14</formula>
    </cfRule>
    <cfRule type="cellIs" dxfId="4661" priority="445" stopIfTrue="1" operator="between">
      <formula>0</formula>
      <formula>5</formula>
    </cfRule>
    <cfRule type="containsBlanks" dxfId="4660" priority="446" stopIfTrue="1">
      <formula>LEN(TRIM(E35))=0</formula>
    </cfRule>
  </conditionalFormatting>
  <conditionalFormatting sqref="E30:L30">
    <cfRule type="containsBlanks" dxfId="4659" priority="433" stopIfTrue="1">
      <formula>LEN(TRIM(E30))=0</formula>
    </cfRule>
    <cfRule type="cellIs" dxfId="4658" priority="434" stopIfTrue="1" operator="between">
      <formula>80.1</formula>
      <formula>100</formula>
    </cfRule>
    <cfRule type="cellIs" dxfId="4657" priority="435" stopIfTrue="1" operator="between">
      <formula>35.1</formula>
      <formula>80</formula>
    </cfRule>
    <cfRule type="cellIs" dxfId="4656" priority="436" stopIfTrue="1" operator="between">
      <formula>14.1</formula>
      <formula>35</formula>
    </cfRule>
    <cfRule type="cellIs" dxfId="4655" priority="437" stopIfTrue="1" operator="between">
      <formula>5.1</formula>
      <formula>14</formula>
    </cfRule>
    <cfRule type="cellIs" dxfId="4654" priority="438" stopIfTrue="1" operator="between">
      <formula>0</formula>
      <formula>5</formula>
    </cfRule>
    <cfRule type="containsBlanks" dxfId="4653" priority="439" stopIfTrue="1">
      <formula>LEN(TRIM(E30))=0</formula>
    </cfRule>
  </conditionalFormatting>
  <conditionalFormatting sqref="E31:L31">
    <cfRule type="containsBlanks" dxfId="4652" priority="426" stopIfTrue="1">
      <formula>LEN(TRIM(E31))=0</formula>
    </cfRule>
    <cfRule type="cellIs" dxfId="4651" priority="427" stopIfTrue="1" operator="between">
      <formula>80.1</formula>
      <formula>100</formula>
    </cfRule>
    <cfRule type="cellIs" dxfId="4650" priority="428" stopIfTrue="1" operator="between">
      <formula>35.1</formula>
      <formula>80</formula>
    </cfRule>
    <cfRule type="cellIs" dxfId="4649" priority="429" stopIfTrue="1" operator="between">
      <formula>14.1</formula>
      <formula>35</formula>
    </cfRule>
    <cfRule type="cellIs" dxfId="4648" priority="430" stopIfTrue="1" operator="between">
      <formula>5.1</formula>
      <formula>14</formula>
    </cfRule>
    <cfRule type="cellIs" dxfId="4647" priority="431" stopIfTrue="1" operator="between">
      <formula>0</formula>
      <formula>5</formula>
    </cfRule>
    <cfRule type="containsBlanks" dxfId="4646" priority="432" stopIfTrue="1">
      <formula>LEN(TRIM(E31))=0</formula>
    </cfRule>
  </conditionalFormatting>
  <conditionalFormatting sqref="E25:L25">
    <cfRule type="containsBlanks" dxfId="4645" priority="419" stopIfTrue="1">
      <formula>LEN(TRIM(E25))=0</formula>
    </cfRule>
    <cfRule type="cellIs" dxfId="4644" priority="420" stopIfTrue="1" operator="between">
      <formula>80.1</formula>
      <formula>100</formula>
    </cfRule>
    <cfRule type="cellIs" dxfId="4643" priority="421" stopIfTrue="1" operator="between">
      <formula>35.1</formula>
      <formula>80</formula>
    </cfRule>
    <cfRule type="cellIs" dxfId="4642" priority="422" stopIfTrue="1" operator="between">
      <formula>14.1</formula>
      <formula>35</formula>
    </cfRule>
    <cfRule type="cellIs" dxfId="4641" priority="423" stopIfTrue="1" operator="between">
      <formula>5.1</formula>
      <formula>14</formula>
    </cfRule>
    <cfRule type="cellIs" dxfId="4640" priority="424" stopIfTrue="1" operator="between">
      <formula>0</formula>
      <formula>5</formula>
    </cfRule>
    <cfRule type="containsBlanks" dxfId="4639" priority="425" stopIfTrue="1">
      <formula>LEN(TRIM(E25))=0</formula>
    </cfRule>
  </conditionalFormatting>
  <conditionalFormatting sqref="E32:L32">
    <cfRule type="containsBlanks" dxfId="4638" priority="412" stopIfTrue="1">
      <formula>LEN(TRIM(E32))=0</formula>
    </cfRule>
    <cfRule type="cellIs" dxfId="4637" priority="413" stopIfTrue="1" operator="between">
      <formula>80.1</formula>
      <formula>100</formula>
    </cfRule>
    <cfRule type="cellIs" dxfId="4636" priority="414" stopIfTrue="1" operator="between">
      <formula>35.1</formula>
      <formula>80</formula>
    </cfRule>
    <cfRule type="cellIs" dxfId="4635" priority="415" stopIfTrue="1" operator="between">
      <formula>14.1</formula>
      <formula>35</formula>
    </cfRule>
    <cfRule type="cellIs" dxfId="4634" priority="416" stopIfTrue="1" operator="between">
      <formula>5.1</formula>
      <formula>14</formula>
    </cfRule>
    <cfRule type="cellIs" dxfId="4633" priority="417" stopIfTrue="1" operator="between">
      <formula>0</formula>
      <formula>5</formula>
    </cfRule>
    <cfRule type="containsBlanks" dxfId="4632" priority="418" stopIfTrue="1">
      <formula>LEN(TRIM(E32))=0</formula>
    </cfRule>
  </conditionalFormatting>
  <conditionalFormatting sqref="E39:N39">
    <cfRule type="containsBlanks" dxfId="4631" priority="405" stopIfTrue="1">
      <formula>LEN(TRIM(E39))=0</formula>
    </cfRule>
    <cfRule type="cellIs" dxfId="4630" priority="406" stopIfTrue="1" operator="between">
      <formula>80.1</formula>
      <formula>100</formula>
    </cfRule>
    <cfRule type="cellIs" dxfId="4629" priority="407" stopIfTrue="1" operator="between">
      <formula>35.1</formula>
      <formula>80</formula>
    </cfRule>
    <cfRule type="cellIs" dxfId="4628" priority="408" stopIfTrue="1" operator="between">
      <formula>14.1</formula>
      <formula>35</formula>
    </cfRule>
    <cfRule type="cellIs" dxfId="4627" priority="409" stopIfTrue="1" operator="between">
      <formula>5.1</formula>
      <formula>14</formula>
    </cfRule>
    <cfRule type="cellIs" dxfId="4626" priority="410" stopIfTrue="1" operator="between">
      <formula>0</formula>
      <formula>5</formula>
    </cfRule>
    <cfRule type="containsBlanks" dxfId="4625" priority="411" stopIfTrue="1">
      <formula>LEN(TRIM(E39))=0</formula>
    </cfRule>
  </conditionalFormatting>
  <conditionalFormatting sqref="E40:M40">
    <cfRule type="containsBlanks" dxfId="4624" priority="398" stopIfTrue="1">
      <formula>LEN(TRIM(E40))=0</formula>
    </cfRule>
    <cfRule type="cellIs" dxfId="4623" priority="399" stopIfTrue="1" operator="between">
      <formula>80.1</formula>
      <formula>100</formula>
    </cfRule>
    <cfRule type="cellIs" dxfId="4622" priority="400" stopIfTrue="1" operator="between">
      <formula>35.1</formula>
      <formula>80</formula>
    </cfRule>
    <cfRule type="cellIs" dxfId="4621" priority="401" stopIfTrue="1" operator="between">
      <formula>14.1</formula>
      <formula>35</formula>
    </cfRule>
    <cfRule type="cellIs" dxfId="4620" priority="402" stopIfTrue="1" operator="between">
      <formula>5.1</formula>
      <formula>14</formula>
    </cfRule>
    <cfRule type="cellIs" dxfId="4619" priority="403" stopIfTrue="1" operator="between">
      <formula>0</formula>
      <formula>5</formula>
    </cfRule>
    <cfRule type="containsBlanks" dxfId="4618" priority="404" stopIfTrue="1">
      <formula>LEN(TRIM(E40))=0</formula>
    </cfRule>
  </conditionalFormatting>
  <conditionalFormatting sqref="E38:M38">
    <cfRule type="containsBlanks" dxfId="4617" priority="391" stopIfTrue="1">
      <formula>LEN(TRIM(E38))=0</formula>
    </cfRule>
    <cfRule type="cellIs" dxfId="4616" priority="392" stopIfTrue="1" operator="between">
      <formula>80.1</formula>
      <formula>100</formula>
    </cfRule>
    <cfRule type="cellIs" dxfId="4615" priority="393" stopIfTrue="1" operator="between">
      <formula>35.1</formula>
      <formula>80</formula>
    </cfRule>
    <cfRule type="cellIs" dxfId="4614" priority="394" stopIfTrue="1" operator="between">
      <formula>14.1</formula>
      <formula>35</formula>
    </cfRule>
    <cfRule type="cellIs" dxfId="4613" priority="395" stopIfTrue="1" operator="between">
      <formula>5.1</formula>
      <formula>14</formula>
    </cfRule>
    <cfRule type="cellIs" dxfId="4612" priority="396" stopIfTrue="1" operator="between">
      <formula>0</formula>
      <formula>5</formula>
    </cfRule>
    <cfRule type="containsBlanks" dxfId="4611" priority="397" stopIfTrue="1">
      <formula>LEN(TRIM(E38))=0</formula>
    </cfRule>
  </conditionalFormatting>
  <conditionalFormatting sqref="E27:O27">
    <cfRule type="containsBlanks" dxfId="4610" priority="384" stopIfTrue="1">
      <formula>LEN(TRIM(E27))=0</formula>
    </cfRule>
    <cfRule type="cellIs" dxfId="4609" priority="385" stopIfTrue="1" operator="between">
      <formula>80.1</formula>
      <formula>100</formula>
    </cfRule>
    <cfRule type="cellIs" dxfId="4608" priority="386" stopIfTrue="1" operator="between">
      <formula>35.1</formula>
      <formula>80</formula>
    </cfRule>
    <cfRule type="cellIs" dxfId="4607" priority="387" stopIfTrue="1" operator="between">
      <formula>14.1</formula>
      <formula>35</formula>
    </cfRule>
    <cfRule type="cellIs" dxfId="4606" priority="388" stopIfTrue="1" operator="between">
      <formula>5.1</formula>
      <formula>14</formula>
    </cfRule>
    <cfRule type="cellIs" dxfId="4605" priority="389" stopIfTrue="1" operator="between">
      <formula>0</formula>
      <formula>5</formula>
    </cfRule>
    <cfRule type="containsBlanks" dxfId="4604" priority="390" stopIfTrue="1">
      <formula>LEN(TRIM(E27))=0</formula>
    </cfRule>
  </conditionalFormatting>
  <conditionalFormatting sqref="E26:G26">
    <cfRule type="containsBlanks" dxfId="4603" priority="377" stopIfTrue="1">
      <formula>LEN(TRIM(E26))=0</formula>
    </cfRule>
    <cfRule type="cellIs" dxfId="4602" priority="378" stopIfTrue="1" operator="between">
      <formula>80.1</formula>
      <formula>100</formula>
    </cfRule>
    <cfRule type="cellIs" dxfId="4601" priority="379" stopIfTrue="1" operator="between">
      <formula>35.1</formula>
      <formula>80</formula>
    </cfRule>
    <cfRule type="cellIs" dxfId="4600" priority="380" stopIfTrue="1" operator="between">
      <formula>14.1</formula>
      <formula>35</formula>
    </cfRule>
    <cfRule type="cellIs" dxfId="4599" priority="381" stopIfTrue="1" operator="between">
      <formula>5.1</formula>
      <formula>14</formula>
    </cfRule>
    <cfRule type="cellIs" dxfId="4598" priority="382" stopIfTrue="1" operator="between">
      <formula>0</formula>
      <formula>5</formula>
    </cfRule>
    <cfRule type="containsBlanks" dxfId="4597" priority="383" stopIfTrue="1">
      <formula>LEN(TRIM(E26))=0</formula>
    </cfRule>
  </conditionalFormatting>
  <conditionalFormatting sqref="E29:G29">
    <cfRule type="containsBlanks" dxfId="4596" priority="370" stopIfTrue="1">
      <formula>LEN(TRIM(E29))=0</formula>
    </cfRule>
    <cfRule type="cellIs" dxfId="4595" priority="371" stopIfTrue="1" operator="between">
      <formula>80.1</formula>
      <formula>100</formula>
    </cfRule>
    <cfRule type="cellIs" dxfId="4594" priority="372" stopIfTrue="1" operator="between">
      <formula>35.1</formula>
      <formula>80</formula>
    </cfRule>
    <cfRule type="cellIs" dxfId="4593" priority="373" stopIfTrue="1" operator="between">
      <formula>14.1</formula>
      <formula>35</formula>
    </cfRule>
    <cfRule type="cellIs" dxfId="4592" priority="374" stopIfTrue="1" operator="between">
      <formula>5.1</formula>
      <formula>14</formula>
    </cfRule>
    <cfRule type="cellIs" dxfId="4591" priority="375" stopIfTrue="1" operator="between">
      <formula>0</formula>
      <formula>5</formula>
    </cfRule>
    <cfRule type="containsBlanks" dxfId="4590" priority="376" stopIfTrue="1">
      <formula>LEN(TRIM(E29))=0</formula>
    </cfRule>
  </conditionalFormatting>
  <conditionalFormatting sqref="E41:I41">
    <cfRule type="containsBlanks" dxfId="4589" priority="363" stopIfTrue="1">
      <formula>LEN(TRIM(E41))=0</formula>
    </cfRule>
    <cfRule type="cellIs" dxfId="4588" priority="364" stopIfTrue="1" operator="between">
      <formula>79.1</formula>
      <formula>100</formula>
    </cfRule>
    <cfRule type="cellIs" dxfId="4587" priority="365" stopIfTrue="1" operator="between">
      <formula>34.1</formula>
      <formula>79</formula>
    </cfRule>
    <cfRule type="cellIs" dxfId="4586" priority="366" stopIfTrue="1" operator="between">
      <formula>13.1</formula>
      <formula>34</formula>
    </cfRule>
    <cfRule type="cellIs" dxfId="4585" priority="367" stopIfTrue="1" operator="between">
      <formula>5.1</formula>
      <formula>13</formula>
    </cfRule>
    <cfRule type="cellIs" dxfId="4584" priority="368" stopIfTrue="1" operator="between">
      <formula>0</formula>
      <formula>5</formula>
    </cfRule>
    <cfRule type="containsBlanks" dxfId="4583" priority="369" stopIfTrue="1">
      <formula>LEN(TRIM(E41))=0</formula>
    </cfRule>
  </conditionalFormatting>
  <conditionalFormatting sqref="E43:P43">
    <cfRule type="containsBlanks" dxfId="4582" priority="356" stopIfTrue="1">
      <formula>LEN(TRIM(E43))=0</formula>
    </cfRule>
    <cfRule type="cellIs" dxfId="4581" priority="357" stopIfTrue="1" operator="between">
      <formula>79.1</formula>
      <formula>100</formula>
    </cfRule>
    <cfRule type="cellIs" dxfId="4580" priority="358" stopIfTrue="1" operator="between">
      <formula>34.1</formula>
      <formula>79</formula>
    </cfRule>
    <cfRule type="cellIs" dxfId="4579" priority="359" stopIfTrue="1" operator="between">
      <formula>13.1</formula>
      <formula>34</formula>
    </cfRule>
    <cfRule type="cellIs" dxfId="4578" priority="360" stopIfTrue="1" operator="between">
      <formula>5.1</formula>
      <formula>13</formula>
    </cfRule>
    <cfRule type="cellIs" dxfId="4577" priority="361" stopIfTrue="1" operator="between">
      <formula>0</formula>
      <formula>5</formula>
    </cfRule>
    <cfRule type="containsBlanks" dxfId="4576" priority="362" stopIfTrue="1">
      <formula>LEN(TRIM(E43))=0</formula>
    </cfRule>
  </conditionalFormatting>
  <conditionalFormatting sqref="E42:J42">
    <cfRule type="containsBlanks" dxfId="4575" priority="349" stopIfTrue="1">
      <formula>LEN(TRIM(E42))=0</formula>
    </cfRule>
    <cfRule type="cellIs" dxfId="4574" priority="350" stopIfTrue="1" operator="between">
      <formula>79.1</formula>
      <formula>100</formula>
    </cfRule>
    <cfRule type="cellIs" dxfId="4573" priority="351" stopIfTrue="1" operator="between">
      <formula>34.1</formula>
      <formula>79</formula>
    </cfRule>
    <cfRule type="cellIs" dxfId="4572" priority="352" stopIfTrue="1" operator="between">
      <formula>13.1</formula>
      <formula>34</formula>
    </cfRule>
    <cfRule type="cellIs" dxfId="4571" priority="353" stopIfTrue="1" operator="between">
      <formula>5.1</formula>
      <formula>13</formula>
    </cfRule>
    <cfRule type="cellIs" dxfId="4570" priority="354" stopIfTrue="1" operator="between">
      <formula>0</formula>
      <formula>5</formula>
    </cfRule>
    <cfRule type="containsBlanks" dxfId="4569" priority="355" stopIfTrue="1">
      <formula>LEN(TRIM(E42))=0</formula>
    </cfRule>
  </conditionalFormatting>
  <conditionalFormatting sqref="E46:H46">
    <cfRule type="containsBlanks" dxfId="4568" priority="335" stopIfTrue="1">
      <formula>LEN(TRIM(E46))=0</formula>
    </cfRule>
    <cfRule type="cellIs" dxfId="4567" priority="336" stopIfTrue="1" operator="between">
      <formula>79.1</formula>
      <formula>100</formula>
    </cfRule>
    <cfRule type="cellIs" dxfId="4566" priority="337" stopIfTrue="1" operator="between">
      <formula>34.1</formula>
      <formula>79</formula>
    </cfRule>
    <cfRule type="cellIs" dxfId="4565" priority="338" stopIfTrue="1" operator="between">
      <formula>13.1</formula>
      <formula>34</formula>
    </cfRule>
    <cfRule type="cellIs" dxfId="4564" priority="339" stopIfTrue="1" operator="between">
      <formula>5.1</formula>
      <formula>13</formula>
    </cfRule>
    <cfRule type="cellIs" dxfId="4563" priority="340" stopIfTrue="1" operator="between">
      <formula>0</formula>
      <formula>5</formula>
    </cfRule>
    <cfRule type="containsBlanks" dxfId="4562" priority="341" stopIfTrue="1">
      <formula>LEN(TRIM(E46))=0</formula>
    </cfRule>
  </conditionalFormatting>
  <conditionalFormatting sqref="E48:K48">
    <cfRule type="containsBlanks" dxfId="4561" priority="265" stopIfTrue="1">
      <formula>LEN(TRIM(E48))=0</formula>
    </cfRule>
    <cfRule type="cellIs" dxfId="4560" priority="266" stopIfTrue="1" operator="between">
      <formula>80.1</formula>
      <formula>100</formula>
    </cfRule>
    <cfRule type="cellIs" dxfId="4559" priority="267" stopIfTrue="1" operator="between">
      <formula>35.1</formula>
      <formula>80</formula>
    </cfRule>
    <cfRule type="cellIs" dxfId="4558" priority="268" stopIfTrue="1" operator="between">
      <formula>14.1</formula>
      <formula>35</formula>
    </cfRule>
    <cfRule type="cellIs" dxfId="4557" priority="269" stopIfTrue="1" operator="between">
      <formula>5.1</formula>
      <formula>14</formula>
    </cfRule>
    <cfRule type="cellIs" dxfId="4556" priority="270" stopIfTrue="1" operator="between">
      <formula>0</formula>
      <formula>5</formula>
    </cfRule>
    <cfRule type="containsBlanks" dxfId="4555" priority="271" stopIfTrue="1">
      <formula>LEN(TRIM(E48))=0</formula>
    </cfRule>
  </conditionalFormatting>
  <conditionalFormatting sqref="E58:J58">
    <cfRule type="containsBlanks" dxfId="4554" priority="258" stopIfTrue="1">
      <formula>LEN(TRIM(E58))=0</formula>
    </cfRule>
    <cfRule type="cellIs" dxfId="4553" priority="259" stopIfTrue="1" operator="between">
      <formula>80.1</formula>
      <formula>100</formula>
    </cfRule>
    <cfRule type="cellIs" dxfId="4552" priority="260" stopIfTrue="1" operator="between">
      <formula>35.1</formula>
      <formula>80</formula>
    </cfRule>
    <cfRule type="cellIs" dxfId="4551" priority="261" stopIfTrue="1" operator="between">
      <formula>14.1</formula>
      <formula>35</formula>
    </cfRule>
    <cfRule type="cellIs" dxfId="4550" priority="262" stopIfTrue="1" operator="between">
      <formula>5.1</formula>
      <formula>14</formula>
    </cfRule>
    <cfRule type="cellIs" dxfId="4549" priority="263" stopIfTrue="1" operator="between">
      <formula>0</formula>
      <formula>5</formula>
    </cfRule>
    <cfRule type="containsBlanks" dxfId="4548" priority="264" stopIfTrue="1">
      <formula>LEN(TRIM(E58))=0</formula>
    </cfRule>
  </conditionalFormatting>
  <conditionalFormatting sqref="E71:O71">
    <cfRule type="containsBlanks" dxfId="4547" priority="237" stopIfTrue="1">
      <formula>LEN(TRIM(E71))=0</formula>
    </cfRule>
    <cfRule type="cellIs" dxfId="4546" priority="238" stopIfTrue="1" operator="between">
      <formula>80.1</formula>
      <formula>100</formula>
    </cfRule>
    <cfRule type="cellIs" dxfId="4545" priority="239" stopIfTrue="1" operator="between">
      <formula>35.1</formula>
      <formula>80</formula>
    </cfRule>
    <cfRule type="cellIs" dxfId="4544" priority="240" stopIfTrue="1" operator="between">
      <formula>14.1</formula>
      <formula>35</formula>
    </cfRule>
    <cfRule type="cellIs" dxfId="4543" priority="241" stopIfTrue="1" operator="between">
      <formula>5.1</formula>
      <formula>14</formula>
    </cfRule>
    <cfRule type="cellIs" dxfId="4542" priority="242" stopIfTrue="1" operator="between">
      <formula>0</formula>
      <formula>5</formula>
    </cfRule>
    <cfRule type="containsBlanks" dxfId="4541" priority="243" stopIfTrue="1">
      <formula>LEN(TRIM(E71))=0</formula>
    </cfRule>
  </conditionalFormatting>
  <conditionalFormatting sqref="E70:J70">
    <cfRule type="containsBlanks" dxfId="4540" priority="202" stopIfTrue="1">
      <formula>LEN(TRIM(E70))=0</formula>
    </cfRule>
    <cfRule type="cellIs" dxfId="4539" priority="203" stopIfTrue="1" operator="between">
      <formula>80.1</formula>
      <formula>100</formula>
    </cfRule>
    <cfRule type="cellIs" dxfId="4538" priority="204" stopIfTrue="1" operator="between">
      <formula>35.1</formula>
      <formula>80</formula>
    </cfRule>
    <cfRule type="cellIs" dxfId="4537" priority="205" stopIfTrue="1" operator="between">
      <formula>14.1</formula>
      <formula>35</formula>
    </cfRule>
    <cfRule type="cellIs" dxfId="4536" priority="206" stopIfTrue="1" operator="between">
      <formula>5.1</formula>
      <formula>14</formula>
    </cfRule>
    <cfRule type="cellIs" dxfId="4535" priority="207" stopIfTrue="1" operator="between">
      <formula>0</formula>
      <formula>5</formula>
    </cfRule>
    <cfRule type="containsBlanks" dxfId="4534" priority="208" stopIfTrue="1">
      <formula>LEN(TRIM(E70))=0</formula>
    </cfRule>
  </conditionalFormatting>
  <conditionalFormatting sqref="E72:M72">
    <cfRule type="containsBlanks" dxfId="4533" priority="188" stopIfTrue="1">
      <formula>LEN(TRIM(E72))=0</formula>
    </cfRule>
    <cfRule type="cellIs" dxfId="4532" priority="189" stopIfTrue="1" operator="between">
      <formula>80.1</formula>
      <formula>100</formula>
    </cfRule>
    <cfRule type="cellIs" dxfId="4531" priority="190" stopIfTrue="1" operator="between">
      <formula>35.1</formula>
      <formula>80</formula>
    </cfRule>
    <cfRule type="cellIs" dxfId="4530" priority="191" stopIfTrue="1" operator="between">
      <formula>14.1</formula>
      <formula>35</formula>
    </cfRule>
    <cfRule type="cellIs" dxfId="4529" priority="192" stopIfTrue="1" operator="between">
      <formula>5.1</formula>
      <formula>14</formula>
    </cfRule>
    <cfRule type="cellIs" dxfId="4528" priority="193" stopIfTrue="1" operator="between">
      <formula>0</formula>
      <formula>5</formula>
    </cfRule>
    <cfRule type="containsBlanks" dxfId="4527" priority="194" stopIfTrue="1">
      <formula>LEN(TRIM(E72))=0</formula>
    </cfRule>
  </conditionalFormatting>
  <conditionalFormatting sqref="E44:Q44">
    <cfRule type="containsBlanks" dxfId="4526" priority="159" stopIfTrue="1">
      <formula>LEN(TRIM(E44))=0</formula>
    </cfRule>
    <cfRule type="cellIs" dxfId="4525" priority="160" stopIfTrue="1" operator="between">
      <formula>80.1</formula>
      <formula>100</formula>
    </cfRule>
    <cfRule type="cellIs" dxfId="4524" priority="161" stopIfTrue="1" operator="between">
      <formula>35.1</formula>
      <formula>80</formula>
    </cfRule>
    <cfRule type="cellIs" dxfId="4523" priority="162" stopIfTrue="1" operator="between">
      <formula>14.1</formula>
      <formula>35</formula>
    </cfRule>
    <cfRule type="cellIs" dxfId="4522" priority="163" stopIfTrue="1" operator="between">
      <formula>5.1</formula>
      <formula>14</formula>
    </cfRule>
    <cfRule type="cellIs" dxfId="4521" priority="164" stopIfTrue="1" operator="between">
      <formula>0</formula>
      <formula>5</formula>
    </cfRule>
    <cfRule type="containsBlanks" dxfId="4520" priority="165" stopIfTrue="1">
      <formula>LEN(TRIM(E44))=0</formula>
    </cfRule>
  </conditionalFormatting>
  <conditionalFormatting sqref="R11">
    <cfRule type="cellIs" dxfId="4519" priority="180" stopIfTrue="1" operator="equal">
      <formula>"NO"</formula>
    </cfRule>
  </conditionalFormatting>
  <conditionalFormatting sqref="S11:S22 S24:S85">
    <cfRule type="cellIs" dxfId="4518" priority="179" stopIfTrue="1" operator="equal">
      <formula>"INVIABLE SANITARIAMENTE"</formula>
    </cfRule>
  </conditionalFormatting>
  <conditionalFormatting sqref="Q11">
    <cfRule type="containsBlanks" dxfId="4517" priority="172" stopIfTrue="1">
      <formula>LEN(TRIM(Q11))=0</formula>
    </cfRule>
    <cfRule type="cellIs" dxfId="4516" priority="173" stopIfTrue="1" operator="between">
      <formula>80.1</formula>
      <formula>100</formula>
    </cfRule>
    <cfRule type="cellIs" dxfId="4515" priority="174" stopIfTrue="1" operator="between">
      <formula>35.1</formula>
      <formula>80</formula>
    </cfRule>
    <cfRule type="cellIs" dxfId="4514" priority="175" stopIfTrue="1" operator="between">
      <formula>14.1</formula>
      <formula>35</formula>
    </cfRule>
    <cfRule type="cellIs" dxfId="4513" priority="176" stopIfTrue="1" operator="between">
      <formula>5.1</formula>
      <formula>14</formula>
    </cfRule>
    <cfRule type="cellIs" dxfId="4512" priority="177" stopIfTrue="1" operator="between">
      <formula>0</formula>
      <formula>5</formula>
    </cfRule>
    <cfRule type="containsBlanks" dxfId="4511" priority="178" stopIfTrue="1">
      <formula>LEN(TRIM(Q11))=0</formula>
    </cfRule>
  </conditionalFormatting>
  <conditionalFormatting sqref="S11:S22 S24:S85">
    <cfRule type="containsText" dxfId="4510" priority="167" stopIfTrue="1" operator="containsText" text="INVIABLE SANITARIAMENTE">
      <formula>NOT(ISERROR(SEARCH("INVIABLE SANITARIAMENTE",S11)))</formula>
    </cfRule>
    <cfRule type="containsText" dxfId="4509" priority="168" stopIfTrue="1" operator="containsText" text="ALTO">
      <formula>NOT(ISERROR(SEARCH("ALTO",S11)))</formula>
    </cfRule>
    <cfRule type="containsText" dxfId="4508" priority="169" stopIfTrue="1" operator="containsText" text="MEDIO">
      <formula>NOT(ISERROR(SEARCH("MEDIO",S11)))</formula>
    </cfRule>
    <cfRule type="containsText" dxfId="4507" priority="170" stopIfTrue="1" operator="containsText" text="BAJO">
      <formula>NOT(ISERROR(SEARCH("BAJO",S11)))</formula>
    </cfRule>
    <cfRule type="containsText" dxfId="4506" priority="171" stopIfTrue="1" operator="containsText" text="SIN RIESGO">
      <formula>NOT(ISERROR(SEARCH("SIN RIESGO",S11)))</formula>
    </cfRule>
  </conditionalFormatting>
  <conditionalFormatting sqref="S11:S22 S24:S85">
    <cfRule type="containsText" dxfId="4505" priority="166" stopIfTrue="1" operator="containsText" text="SIN RIESGO">
      <formula>NOT(ISERROR(SEARCH("SIN RIESGO",S11)))</formula>
    </cfRule>
  </conditionalFormatting>
  <conditionalFormatting sqref="E44:P44">
    <cfRule type="containsBlanks" dxfId="4504" priority="152" stopIfTrue="1">
      <formula>LEN(TRIM(E44))=0</formula>
    </cfRule>
    <cfRule type="cellIs" dxfId="4503" priority="153" stopIfTrue="1" operator="between">
      <formula>79.1</formula>
      <formula>100</formula>
    </cfRule>
    <cfRule type="cellIs" dxfId="4502" priority="154" stopIfTrue="1" operator="between">
      <formula>34.1</formula>
      <formula>79</formula>
    </cfRule>
    <cfRule type="cellIs" dxfId="4501" priority="155" stopIfTrue="1" operator="between">
      <formula>13.1</formula>
      <formula>34</formula>
    </cfRule>
    <cfRule type="cellIs" dxfId="4500" priority="156" stopIfTrue="1" operator="between">
      <formula>5.1</formula>
      <formula>13</formula>
    </cfRule>
    <cfRule type="cellIs" dxfId="4499" priority="157" stopIfTrue="1" operator="between">
      <formula>0</formula>
      <formula>5</formula>
    </cfRule>
    <cfRule type="containsBlanks" dxfId="4498" priority="158" stopIfTrue="1">
      <formula>LEN(TRIM(E44))=0</formula>
    </cfRule>
  </conditionalFormatting>
  <conditionalFormatting sqref="Q23">
    <cfRule type="containsBlanks" dxfId="4497" priority="145" stopIfTrue="1">
      <formula>LEN(TRIM(Q23))=0</formula>
    </cfRule>
    <cfRule type="cellIs" dxfId="4496" priority="146" stopIfTrue="1" operator="between">
      <formula>80.1</formula>
      <formula>100</formula>
    </cfRule>
    <cfRule type="cellIs" dxfId="4495" priority="147" stopIfTrue="1" operator="between">
      <formula>35.1</formula>
      <formula>80</formula>
    </cfRule>
    <cfRule type="cellIs" dxfId="4494" priority="148" stopIfTrue="1" operator="between">
      <formula>14.1</formula>
      <formula>35</formula>
    </cfRule>
    <cfRule type="cellIs" dxfId="4493" priority="149" stopIfTrue="1" operator="between">
      <formula>5.1</formula>
      <formula>14</formula>
    </cfRule>
    <cfRule type="cellIs" dxfId="4492" priority="150" stopIfTrue="1" operator="between">
      <formula>0</formula>
      <formula>5</formula>
    </cfRule>
    <cfRule type="containsBlanks" dxfId="4491" priority="151" stopIfTrue="1">
      <formula>LEN(TRIM(Q23))=0</formula>
    </cfRule>
  </conditionalFormatting>
  <conditionalFormatting sqref="R23">
    <cfRule type="cellIs" dxfId="4490" priority="144" stopIfTrue="1" operator="equal">
      <formula>"NO"</formula>
    </cfRule>
  </conditionalFormatting>
  <conditionalFormatting sqref="S23">
    <cfRule type="cellIs" dxfId="4489" priority="143" stopIfTrue="1" operator="equal">
      <formula>"INVIABLE SANITARIAMENTE"</formula>
    </cfRule>
  </conditionalFormatting>
  <conditionalFormatting sqref="S23">
    <cfRule type="containsText" dxfId="4488" priority="138" stopIfTrue="1" operator="containsText" text="INVIABLE SANITARIAMENTE">
      <formula>NOT(ISERROR(SEARCH("INVIABLE SANITARIAMENTE",S23)))</formula>
    </cfRule>
    <cfRule type="containsText" dxfId="4487" priority="139" stopIfTrue="1" operator="containsText" text="ALTO">
      <formula>NOT(ISERROR(SEARCH("ALTO",S23)))</formula>
    </cfRule>
    <cfRule type="containsText" dxfId="4486" priority="140" stopIfTrue="1" operator="containsText" text="MEDIO">
      <formula>NOT(ISERROR(SEARCH("MEDIO",S23)))</formula>
    </cfRule>
    <cfRule type="containsText" dxfId="4485" priority="141" stopIfTrue="1" operator="containsText" text="BAJO">
      <formula>NOT(ISERROR(SEARCH("BAJO",S23)))</formula>
    </cfRule>
    <cfRule type="containsText" dxfId="4484" priority="142" stopIfTrue="1" operator="containsText" text="SIN RIESGO">
      <formula>NOT(ISERROR(SEARCH("SIN RIESGO",S23)))</formula>
    </cfRule>
  </conditionalFormatting>
  <conditionalFormatting sqref="S23">
    <cfRule type="containsText" dxfId="4483" priority="137" stopIfTrue="1" operator="containsText" text="SIN RIESGO">
      <formula>NOT(ISERROR(SEARCH("SIN RIESGO",S23)))</formula>
    </cfRule>
  </conditionalFormatting>
  <conditionalFormatting sqref="E11:P14">
    <cfRule type="containsBlanks" dxfId="4482" priority="115" stopIfTrue="1">
      <formula>LEN(TRIM(E11))=0</formula>
    </cfRule>
    <cfRule type="cellIs" dxfId="4481" priority="116" stopIfTrue="1" operator="between">
      <formula>80.1</formula>
      <formula>100</formula>
    </cfRule>
    <cfRule type="cellIs" dxfId="4480" priority="117" stopIfTrue="1" operator="between">
      <formula>35.1</formula>
      <formula>80</formula>
    </cfRule>
    <cfRule type="cellIs" dxfId="4479" priority="118" stopIfTrue="1" operator="between">
      <formula>14.1</formula>
      <formula>35</formula>
    </cfRule>
    <cfRule type="cellIs" dxfId="4478" priority="119" stopIfTrue="1" operator="between">
      <formula>5.1</formula>
      <formula>14</formula>
    </cfRule>
    <cfRule type="cellIs" dxfId="4477" priority="120" stopIfTrue="1" operator="between">
      <formula>0</formula>
      <formula>5</formula>
    </cfRule>
    <cfRule type="containsBlanks" dxfId="4476" priority="121" stopIfTrue="1">
      <formula>LEN(TRIM(E11))=0</formula>
    </cfRule>
  </conditionalFormatting>
  <conditionalFormatting sqref="E21:P22">
    <cfRule type="containsBlanks" dxfId="4475" priority="108" stopIfTrue="1">
      <formula>LEN(TRIM(E21))=0</formula>
    </cfRule>
    <cfRule type="cellIs" dxfId="4474" priority="109" stopIfTrue="1" operator="between">
      <formula>80.1</formula>
      <formula>100</formula>
    </cfRule>
    <cfRule type="cellIs" dxfId="4473" priority="110" stopIfTrue="1" operator="between">
      <formula>35.1</formula>
      <formula>80</formula>
    </cfRule>
    <cfRule type="cellIs" dxfId="4472" priority="111" stopIfTrue="1" operator="between">
      <formula>14.1</formula>
      <formula>35</formula>
    </cfRule>
    <cfRule type="cellIs" dxfId="4471" priority="112" stopIfTrue="1" operator="between">
      <formula>5.1</formula>
      <formula>14</formula>
    </cfRule>
    <cfRule type="cellIs" dxfId="4470" priority="113" stopIfTrue="1" operator="between">
      <formula>0</formula>
      <formula>5</formula>
    </cfRule>
    <cfRule type="containsBlanks" dxfId="4469" priority="114" stopIfTrue="1">
      <formula>LEN(TRIM(E21))=0</formula>
    </cfRule>
  </conditionalFormatting>
  <conditionalFormatting sqref="E20:P20">
    <cfRule type="containsBlanks" dxfId="4468" priority="101" stopIfTrue="1">
      <formula>LEN(TRIM(E20))=0</formula>
    </cfRule>
    <cfRule type="cellIs" dxfId="4467" priority="102" stopIfTrue="1" operator="between">
      <formula>80.1</formula>
      <formula>100</formula>
    </cfRule>
    <cfRule type="cellIs" dxfId="4466" priority="103" stopIfTrue="1" operator="between">
      <formula>35.1</formula>
      <formula>80</formula>
    </cfRule>
    <cfRule type="cellIs" dxfId="4465" priority="104" stopIfTrue="1" operator="between">
      <formula>14.1</formula>
      <formula>35</formula>
    </cfRule>
    <cfRule type="cellIs" dxfId="4464" priority="105" stopIfTrue="1" operator="between">
      <formula>5.1</formula>
      <formula>14</formula>
    </cfRule>
    <cfRule type="cellIs" dxfId="4463" priority="106" stopIfTrue="1" operator="between">
      <formula>0</formula>
      <formula>5</formula>
    </cfRule>
    <cfRule type="containsBlanks" dxfId="4462" priority="107" stopIfTrue="1">
      <formula>LEN(TRIM(E20))=0</formula>
    </cfRule>
  </conditionalFormatting>
  <conditionalFormatting sqref="E23:P23">
    <cfRule type="containsBlanks" dxfId="4461" priority="94" stopIfTrue="1">
      <formula>LEN(TRIM(E23))=0</formula>
    </cfRule>
    <cfRule type="cellIs" dxfId="4460" priority="95" stopIfTrue="1" operator="between">
      <formula>80.1</formula>
      <formula>100</formula>
    </cfRule>
    <cfRule type="cellIs" dxfId="4459" priority="96" stopIfTrue="1" operator="between">
      <formula>35.1</formula>
      <formula>80</formula>
    </cfRule>
    <cfRule type="cellIs" dxfId="4458" priority="97" stopIfTrue="1" operator="between">
      <formula>14.1</formula>
      <formula>35</formula>
    </cfRule>
    <cfRule type="cellIs" dxfId="4457" priority="98" stopIfTrue="1" operator="between">
      <formula>5.1</formula>
      <formula>14</formula>
    </cfRule>
    <cfRule type="cellIs" dxfId="4456" priority="99" stopIfTrue="1" operator="between">
      <formula>0</formula>
      <formula>5</formula>
    </cfRule>
    <cfRule type="containsBlanks" dxfId="4455" priority="100" stopIfTrue="1">
      <formula>LEN(TRIM(E23))=0</formula>
    </cfRule>
  </conditionalFormatting>
  <conditionalFormatting sqref="E24:P24">
    <cfRule type="containsBlanks" dxfId="4454" priority="87" stopIfTrue="1">
      <formula>LEN(TRIM(E24))=0</formula>
    </cfRule>
    <cfRule type="cellIs" dxfId="4453" priority="88" stopIfTrue="1" operator="between">
      <formula>80.1</formula>
      <formula>100</formula>
    </cfRule>
    <cfRule type="cellIs" dxfId="4452" priority="89" stopIfTrue="1" operator="between">
      <formula>35.1</formula>
      <formula>80</formula>
    </cfRule>
    <cfRule type="cellIs" dxfId="4451" priority="90" stopIfTrue="1" operator="between">
      <formula>14.1</formula>
      <formula>35</formula>
    </cfRule>
    <cfRule type="cellIs" dxfId="4450" priority="91" stopIfTrue="1" operator="between">
      <formula>5.1</formula>
      <formula>14</formula>
    </cfRule>
    <cfRule type="cellIs" dxfId="4449" priority="92" stopIfTrue="1" operator="between">
      <formula>0</formula>
      <formula>5</formula>
    </cfRule>
    <cfRule type="containsBlanks" dxfId="4448" priority="93" stopIfTrue="1">
      <formula>LEN(TRIM(E24))=0</formula>
    </cfRule>
  </conditionalFormatting>
  <conditionalFormatting sqref="E47:P47">
    <cfRule type="containsBlanks" dxfId="4447" priority="80" stopIfTrue="1">
      <formula>LEN(TRIM(E47))=0</formula>
    </cfRule>
    <cfRule type="cellIs" dxfId="4446" priority="81" stopIfTrue="1" operator="between">
      <formula>80.1</formula>
      <formula>100</formula>
    </cfRule>
    <cfRule type="cellIs" dxfId="4445" priority="82" stopIfTrue="1" operator="between">
      <formula>35.1</formula>
      <formula>80</formula>
    </cfRule>
    <cfRule type="cellIs" dxfId="4444" priority="83" stopIfTrue="1" operator="between">
      <formula>14.1</formula>
      <formula>35</formula>
    </cfRule>
    <cfRule type="cellIs" dxfId="4443" priority="84" stopIfTrue="1" operator="between">
      <formula>5.1</formula>
      <formula>14</formula>
    </cfRule>
    <cfRule type="cellIs" dxfId="4442" priority="85" stopIfTrue="1" operator="between">
      <formula>0</formula>
      <formula>5</formula>
    </cfRule>
    <cfRule type="containsBlanks" dxfId="4441" priority="86" stopIfTrue="1">
      <formula>LEN(TRIM(E47))=0</formula>
    </cfRule>
  </conditionalFormatting>
  <conditionalFormatting sqref="E45:P45">
    <cfRule type="containsBlanks" dxfId="4440" priority="73" stopIfTrue="1">
      <formula>LEN(TRIM(E45))=0</formula>
    </cfRule>
    <cfRule type="cellIs" dxfId="4439" priority="74" stopIfTrue="1" operator="between">
      <formula>80.1</formula>
      <formula>100</formula>
    </cfRule>
    <cfRule type="cellIs" dxfId="4438" priority="75" stopIfTrue="1" operator="between">
      <formula>35.1</formula>
      <formula>80</formula>
    </cfRule>
    <cfRule type="cellIs" dxfId="4437" priority="76" stopIfTrue="1" operator="between">
      <formula>14.1</formula>
      <formula>35</formula>
    </cfRule>
    <cfRule type="cellIs" dxfId="4436" priority="77" stopIfTrue="1" operator="between">
      <formula>5.1</formula>
      <formula>14</formula>
    </cfRule>
    <cfRule type="cellIs" dxfId="4435" priority="78" stopIfTrue="1" operator="between">
      <formula>0</formula>
      <formula>5</formula>
    </cfRule>
    <cfRule type="containsBlanks" dxfId="4434" priority="79" stopIfTrue="1">
      <formula>LEN(TRIM(E45))=0</formula>
    </cfRule>
  </conditionalFormatting>
  <conditionalFormatting sqref="E49:P57">
    <cfRule type="containsBlanks" dxfId="4433" priority="66" stopIfTrue="1">
      <formula>LEN(TRIM(E49))=0</formula>
    </cfRule>
    <cfRule type="cellIs" dxfId="4432" priority="67" stopIfTrue="1" operator="between">
      <formula>80.1</formula>
      <formula>100</formula>
    </cfRule>
    <cfRule type="cellIs" dxfId="4431" priority="68" stopIfTrue="1" operator="between">
      <formula>35.1</formula>
      <formula>80</formula>
    </cfRule>
    <cfRule type="cellIs" dxfId="4430" priority="69" stopIfTrue="1" operator="between">
      <formula>14.1</formula>
      <formula>35</formula>
    </cfRule>
    <cfRule type="cellIs" dxfId="4429" priority="70" stopIfTrue="1" operator="between">
      <formula>5.1</formula>
      <formula>14</formula>
    </cfRule>
    <cfRule type="cellIs" dxfId="4428" priority="71" stopIfTrue="1" operator="between">
      <formula>0</formula>
      <formula>5</formula>
    </cfRule>
    <cfRule type="containsBlanks" dxfId="4427" priority="72" stopIfTrue="1">
      <formula>LEN(TRIM(E49))=0</formula>
    </cfRule>
  </conditionalFormatting>
  <conditionalFormatting sqref="E59:P62">
    <cfRule type="containsBlanks" dxfId="4426" priority="59" stopIfTrue="1">
      <formula>LEN(TRIM(E59))=0</formula>
    </cfRule>
    <cfRule type="cellIs" dxfId="4425" priority="60" stopIfTrue="1" operator="between">
      <formula>80.1</formula>
      <formula>100</formula>
    </cfRule>
    <cfRule type="cellIs" dxfId="4424" priority="61" stopIfTrue="1" operator="between">
      <formula>35.1</formula>
      <formula>80</formula>
    </cfRule>
    <cfRule type="cellIs" dxfId="4423" priority="62" stopIfTrue="1" operator="between">
      <formula>14.1</formula>
      <formula>35</formula>
    </cfRule>
    <cfRule type="cellIs" dxfId="4422" priority="63" stopIfTrue="1" operator="between">
      <formula>5.1</formula>
      <formula>14</formula>
    </cfRule>
    <cfRule type="cellIs" dxfId="4421" priority="64" stopIfTrue="1" operator="between">
      <formula>0</formula>
      <formula>5</formula>
    </cfRule>
    <cfRule type="containsBlanks" dxfId="4420" priority="65" stopIfTrue="1">
      <formula>LEN(TRIM(E59))=0</formula>
    </cfRule>
  </conditionalFormatting>
  <conditionalFormatting sqref="E65:P67">
    <cfRule type="containsBlanks" dxfId="4419" priority="52" stopIfTrue="1">
      <formula>LEN(TRIM(E65))=0</formula>
    </cfRule>
    <cfRule type="cellIs" dxfId="4418" priority="53" stopIfTrue="1" operator="between">
      <formula>80.1</formula>
      <formula>100</formula>
    </cfRule>
    <cfRule type="cellIs" dxfId="4417" priority="54" stopIfTrue="1" operator="between">
      <formula>35.1</formula>
      <formula>80</formula>
    </cfRule>
    <cfRule type="cellIs" dxfId="4416" priority="55" stopIfTrue="1" operator="between">
      <formula>14.1</formula>
      <formula>35</formula>
    </cfRule>
    <cfRule type="cellIs" dxfId="4415" priority="56" stopIfTrue="1" operator="between">
      <formula>5.1</formula>
      <formula>14</formula>
    </cfRule>
    <cfRule type="cellIs" dxfId="4414" priority="57" stopIfTrue="1" operator="between">
      <formula>0</formula>
      <formula>5</formula>
    </cfRule>
    <cfRule type="containsBlanks" dxfId="4413" priority="58" stopIfTrue="1">
      <formula>LEN(TRIM(E65))=0</formula>
    </cfRule>
  </conditionalFormatting>
  <conditionalFormatting sqref="E68:P68">
    <cfRule type="containsBlanks" dxfId="4412" priority="45" stopIfTrue="1">
      <formula>LEN(TRIM(E68))=0</formula>
    </cfRule>
    <cfRule type="cellIs" dxfId="4411" priority="46" stopIfTrue="1" operator="between">
      <formula>80.1</formula>
      <formula>100</formula>
    </cfRule>
    <cfRule type="cellIs" dxfId="4410" priority="47" stopIfTrue="1" operator="between">
      <formula>35.1</formula>
      <formula>80</formula>
    </cfRule>
    <cfRule type="cellIs" dxfId="4409" priority="48" stopIfTrue="1" operator="between">
      <formula>14.1</formula>
      <formula>35</formula>
    </cfRule>
    <cfRule type="cellIs" dxfId="4408" priority="49" stopIfTrue="1" operator="between">
      <formula>5.1</formula>
      <formula>14</formula>
    </cfRule>
    <cfRule type="cellIs" dxfId="4407" priority="50" stopIfTrue="1" operator="between">
      <formula>0</formula>
      <formula>5</formula>
    </cfRule>
    <cfRule type="containsBlanks" dxfId="4406" priority="51" stopIfTrue="1">
      <formula>LEN(TRIM(E68))=0</formula>
    </cfRule>
  </conditionalFormatting>
  <conditionalFormatting sqref="E69 N69:P69">
    <cfRule type="containsBlanks" dxfId="4405" priority="38" stopIfTrue="1">
      <formula>LEN(TRIM(E69))=0</formula>
    </cfRule>
    <cfRule type="cellIs" dxfId="4404" priority="39" stopIfTrue="1" operator="between">
      <formula>80.1</formula>
      <formula>100</formula>
    </cfRule>
    <cfRule type="cellIs" dxfId="4403" priority="40" stopIfTrue="1" operator="between">
      <formula>35.1</formula>
      <formula>80</formula>
    </cfRule>
    <cfRule type="cellIs" dxfId="4402" priority="41" stopIfTrue="1" operator="between">
      <formula>14.1</formula>
      <formula>35</formula>
    </cfRule>
    <cfRule type="cellIs" dxfId="4401" priority="42" stopIfTrue="1" operator="between">
      <formula>5.1</formula>
      <formula>14</formula>
    </cfRule>
    <cfRule type="cellIs" dxfId="4400" priority="43" stopIfTrue="1" operator="between">
      <formula>0</formula>
      <formula>5</formula>
    </cfRule>
    <cfRule type="containsBlanks" dxfId="4399" priority="44" stopIfTrue="1">
      <formula>LEN(TRIM(E69))=0</formula>
    </cfRule>
  </conditionalFormatting>
  <conditionalFormatting sqref="H69">
    <cfRule type="containsBlanks" dxfId="4398" priority="31" stopIfTrue="1">
      <formula>LEN(TRIM(H69))=0</formula>
    </cfRule>
    <cfRule type="cellIs" dxfId="4397" priority="32" stopIfTrue="1" operator="between">
      <formula>80.1</formula>
      <formula>100</formula>
    </cfRule>
    <cfRule type="cellIs" dxfId="4396" priority="33" stopIfTrue="1" operator="between">
      <formula>35.1</formula>
      <formula>80</formula>
    </cfRule>
    <cfRule type="cellIs" dxfId="4395" priority="34" stopIfTrue="1" operator="between">
      <formula>14.1</formula>
      <formula>35</formula>
    </cfRule>
    <cfRule type="cellIs" dxfId="4394" priority="35" stopIfTrue="1" operator="between">
      <formula>5.1</formula>
      <formula>14</formula>
    </cfRule>
    <cfRule type="cellIs" dxfId="4393" priority="36" stopIfTrue="1" operator="between">
      <formula>0</formula>
      <formula>5</formula>
    </cfRule>
    <cfRule type="containsBlanks" dxfId="4392" priority="37" stopIfTrue="1">
      <formula>LEN(TRIM(H69))=0</formula>
    </cfRule>
  </conditionalFormatting>
  <conditionalFormatting sqref="E74:P74">
    <cfRule type="containsBlanks" dxfId="4391" priority="24" stopIfTrue="1">
      <formula>LEN(TRIM(E74))=0</formula>
    </cfRule>
    <cfRule type="cellIs" dxfId="4390" priority="25" stopIfTrue="1" operator="between">
      <formula>80.1</formula>
      <formula>100</formula>
    </cfRule>
    <cfRule type="cellIs" dxfId="4389" priority="26" stopIfTrue="1" operator="between">
      <formula>35.1</formula>
      <formula>80</formula>
    </cfRule>
    <cfRule type="cellIs" dxfId="4388" priority="27" stopIfTrue="1" operator="between">
      <formula>14.1</formula>
      <formula>35</formula>
    </cfRule>
    <cfRule type="cellIs" dxfId="4387" priority="28" stopIfTrue="1" operator="between">
      <formula>5.1</formula>
      <formula>14</formula>
    </cfRule>
    <cfRule type="cellIs" dxfId="4386" priority="29" stopIfTrue="1" operator="between">
      <formula>0</formula>
      <formula>5</formula>
    </cfRule>
    <cfRule type="containsBlanks" dxfId="4385" priority="30" stopIfTrue="1">
      <formula>LEN(TRIM(E74))=0</formula>
    </cfRule>
  </conditionalFormatting>
  <conditionalFormatting sqref="E76:P79">
    <cfRule type="containsBlanks" dxfId="4384" priority="17" stopIfTrue="1">
      <formula>LEN(TRIM(E76))=0</formula>
    </cfRule>
    <cfRule type="cellIs" dxfId="4383" priority="18" stopIfTrue="1" operator="between">
      <formula>80.1</formula>
      <formula>100</formula>
    </cfRule>
    <cfRule type="cellIs" dxfId="4382" priority="19" stopIfTrue="1" operator="between">
      <formula>35.1</formula>
      <formula>80</formula>
    </cfRule>
    <cfRule type="cellIs" dxfId="4381" priority="20" stopIfTrue="1" operator="between">
      <formula>14.1</formula>
      <formula>35</formula>
    </cfRule>
    <cfRule type="cellIs" dxfId="4380" priority="21" stopIfTrue="1" operator="between">
      <formula>5.1</formula>
      <formula>14</formula>
    </cfRule>
    <cfRule type="cellIs" dxfId="4379" priority="22" stopIfTrue="1" operator="between">
      <formula>0</formula>
      <formula>5</formula>
    </cfRule>
    <cfRule type="containsBlanks" dxfId="4378" priority="23" stopIfTrue="1">
      <formula>LEN(TRIM(E76))=0</formula>
    </cfRule>
  </conditionalFormatting>
  <conditionalFormatting sqref="E80:Q85 Q79">
    <cfRule type="containsBlanks" dxfId="4377" priority="8" stopIfTrue="1">
      <formula>LEN(TRIM(E79))=0</formula>
    </cfRule>
    <cfRule type="cellIs" dxfId="4376" priority="9" stopIfTrue="1" operator="between">
      <formula>80.1</formula>
      <formula>100</formula>
    </cfRule>
    <cfRule type="cellIs" dxfId="4375" priority="10" stopIfTrue="1" operator="between">
      <formula>35.1</formula>
      <formula>80</formula>
    </cfRule>
    <cfRule type="cellIs" dxfId="4374" priority="11" stopIfTrue="1" operator="between">
      <formula>14.1</formula>
      <formula>35</formula>
    </cfRule>
    <cfRule type="cellIs" dxfId="4373" priority="12" stopIfTrue="1" operator="between">
      <formula>5.1</formula>
      <formula>14</formula>
    </cfRule>
    <cfRule type="cellIs" dxfId="4372" priority="13" stopIfTrue="1" operator="between">
      <formula>0</formula>
      <formula>5</formula>
    </cfRule>
    <cfRule type="containsBlanks" dxfId="4371" priority="14" stopIfTrue="1">
      <formula>LEN(TRIM(E79))=0</formula>
    </cfRule>
  </conditionalFormatting>
  <conditionalFormatting sqref="R79:R85">
    <cfRule type="cellIs" dxfId="4370" priority="1" stopIfTrue="1" operator="equal">
      <formula>"NO"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theme="0"/>
  </sheetPr>
  <dimension ref="A1:W351"/>
  <sheetViews>
    <sheetView zoomScale="70" zoomScaleNormal="70" workbookViewId="0">
      <pane xSplit="3" ySplit="11" topLeftCell="D12" activePane="bottomRight" state="frozenSplit"/>
      <selection pane="topRight" activeCell="D1" sqref="D1"/>
      <selection pane="bottomLeft" activeCell="A12" sqref="A12"/>
      <selection pane="bottomRight" activeCell="B5" sqref="B5:C6"/>
    </sheetView>
  </sheetViews>
  <sheetFormatPr baseColWidth="10" defaultColWidth="0" defaultRowHeight="12.75" zeroHeight="1"/>
  <cols>
    <col min="1" max="1" width="36.5703125" style="35" customWidth="1"/>
    <col min="2" max="2" width="42.5703125" style="12" customWidth="1"/>
    <col min="3" max="3" width="66.5703125" style="12" customWidth="1"/>
    <col min="4" max="4" width="22.85546875" style="12" customWidth="1"/>
    <col min="5" max="18" width="10.7109375" customWidth="1"/>
    <col min="19" max="19" width="43.42578125" bestFit="1" customWidth="1"/>
    <col min="20" max="20" width="9.85546875" hidden="1" customWidth="1"/>
    <col min="21" max="16384" width="11.42578125" hidden="1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4455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19.5" customHeight="1">
      <c r="A5" s="109"/>
      <c r="B5" s="694" t="s">
        <v>4477</v>
      </c>
      <c r="C5" s="694"/>
      <c r="D5" s="560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6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32" customFormat="1" ht="8.25" customHeight="1">
      <c r="A7" s="697"/>
      <c r="B7" s="697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</row>
    <row r="8" spans="1:23" s="32" customFormat="1" ht="6" customHeight="1">
      <c r="A8" s="697"/>
      <c r="B8" s="697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1"/>
    </row>
    <row r="9" spans="1:23" s="32" customFormat="1" ht="27" customHeight="1">
      <c r="A9" s="392" t="s">
        <v>4338</v>
      </c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49"/>
    </row>
    <row r="10" spans="1:23" s="10" customFormat="1" ht="18" customHeight="1">
      <c r="A10" s="698" t="s">
        <v>37</v>
      </c>
      <c r="B10" s="696" t="s">
        <v>38</v>
      </c>
      <c r="C10" s="696" t="s">
        <v>254</v>
      </c>
      <c r="D10" s="715" t="s">
        <v>402</v>
      </c>
      <c r="E10" s="696" t="s">
        <v>33</v>
      </c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713" t="s">
        <v>34</v>
      </c>
      <c r="R10" s="713" t="s">
        <v>36</v>
      </c>
      <c r="S10" s="696" t="s">
        <v>35</v>
      </c>
      <c r="T10" s="11"/>
    </row>
    <row r="11" spans="1:23" s="10" customFormat="1" ht="24" customHeight="1">
      <c r="A11" s="698"/>
      <c r="B11" s="696"/>
      <c r="C11" s="696"/>
      <c r="D11" s="716"/>
      <c r="E11" s="231" t="s">
        <v>21</v>
      </c>
      <c r="F11" s="231" t="s">
        <v>22</v>
      </c>
      <c r="G11" s="231" t="s">
        <v>23</v>
      </c>
      <c r="H11" s="231" t="s">
        <v>24</v>
      </c>
      <c r="I11" s="231" t="s">
        <v>25</v>
      </c>
      <c r="J11" s="231" t="s">
        <v>26</v>
      </c>
      <c r="K11" s="231" t="s">
        <v>27</v>
      </c>
      <c r="L11" s="231" t="s">
        <v>28</v>
      </c>
      <c r="M11" s="231" t="s">
        <v>29</v>
      </c>
      <c r="N11" s="231" t="s">
        <v>30</v>
      </c>
      <c r="O11" s="231" t="s">
        <v>31</v>
      </c>
      <c r="P11" s="231" t="s">
        <v>32</v>
      </c>
      <c r="Q11" s="713"/>
      <c r="R11" s="713"/>
      <c r="S11" s="696"/>
      <c r="T11" s="11"/>
    </row>
    <row r="12" spans="1:23" ht="32.1" customHeight="1">
      <c r="A12" s="562" t="s">
        <v>192</v>
      </c>
      <c r="B12" s="562" t="s">
        <v>610</v>
      </c>
      <c r="C12" s="562" t="s">
        <v>611</v>
      </c>
      <c r="D12" s="304">
        <v>36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15"/>
      <c r="S12" s="360"/>
      <c r="T12" s="1"/>
    </row>
    <row r="13" spans="1:23" ht="32.1" customHeight="1">
      <c r="A13" s="562" t="s">
        <v>192</v>
      </c>
      <c r="B13" s="562" t="s">
        <v>612</v>
      </c>
      <c r="C13" s="562" t="s">
        <v>613</v>
      </c>
      <c r="D13" s="304">
        <v>120</v>
      </c>
      <c r="E13" s="47"/>
      <c r="F13" s="47"/>
      <c r="G13" s="47"/>
      <c r="H13" s="47"/>
      <c r="I13" s="47"/>
      <c r="J13" s="47">
        <v>97.4</v>
      </c>
      <c r="K13" s="47"/>
      <c r="L13" s="47"/>
      <c r="M13" s="47"/>
      <c r="N13" s="47"/>
      <c r="O13" s="47"/>
      <c r="P13" s="47"/>
      <c r="Q13" s="47">
        <f t="shared" ref="Q13:Q28" si="0">AVERAGE(E13:P13)</f>
        <v>97.4</v>
      </c>
      <c r="R13" s="315" t="str">
        <f t="shared" ref="R13:R28" si="1">IF(Q13&lt;5,"SI","NO")</f>
        <v>NO</v>
      </c>
      <c r="S13" s="670" t="str">
        <f t="shared" ref="S13:S76" si="2">IF(Q13&lt;5,"Sin Riesgo",IF(Q13 &lt;=14,"Bajo",IF(Q13&lt;=35,"Medio",IF(Q13&lt;=80,"Alto","Inviable Sanitariamente"))))</f>
        <v>Inviable Sanitariamente</v>
      </c>
      <c r="T13" s="1"/>
    </row>
    <row r="14" spans="1:23" ht="32.1" customHeight="1">
      <c r="A14" s="562" t="s">
        <v>192</v>
      </c>
      <c r="B14" s="562" t="s">
        <v>614</v>
      </c>
      <c r="C14" s="562" t="s">
        <v>615</v>
      </c>
      <c r="D14" s="304">
        <v>45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315"/>
      <c r="S14" s="670"/>
      <c r="T14" s="1"/>
    </row>
    <row r="15" spans="1:23" ht="32.1" customHeight="1">
      <c r="A15" s="562" t="s">
        <v>192</v>
      </c>
      <c r="B15" s="562" t="s">
        <v>616</v>
      </c>
      <c r="C15" s="562" t="s">
        <v>617</v>
      </c>
      <c r="D15" s="304">
        <v>33</v>
      </c>
      <c r="E15" s="47"/>
      <c r="F15" s="47"/>
      <c r="G15" s="47"/>
      <c r="H15" s="47"/>
      <c r="I15" s="47"/>
      <c r="J15" s="47"/>
      <c r="K15" s="47"/>
      <c r="L15" s="47"/>
      <c r="M15" s="47"/>
      <c r="N15" s="47">
        <v>93</v>
      </c>
      <c r="O15" s="47"/>
      <c r="P15" s="47"/>
      <c r="Q15" s="47">
        <f t="shared" si="0"/>
        <v>93</v>
      </c>
      <c r="R15" s="315" t="str">
        <f t="shared" si="1"/>
        <v>NO</v>
      </c>
      <c r="S15" s="670" t="str">
        <f t="shared" si="2"/>
        <v>Inviable Sanitariamente</v>
      </c>
      <c r="T15" s="1"/>
    </row>
    <row r="16" spans="1:23" ht="32.1" customHeight="1">
      <c r="A16" s="562" t="s">
        <v>192</v>
      </c>
      <c r="B16" s="562" t="s">
        <v>618</v>
      </c>
      <c r="C16" s="562" t="s">
        <v>619</v>
      </c>
      <c r="D16" s="304">
        <v>34</v>
      </c>
      <c r="E16" s="47"/>
      <c r="F16" s="47"/>
      <c r="G16" s="47"/>
      <c r="H16" s="47"/>
      <c r="I16" s="47"/>
      <c r="J16" s="47"/>
      <c r="K16" s="47"/>
      <c r="L16" s="47"/>
      <c r="M16" s="47"/>
      <c r="N16" s="47">
        <v>93.3</v>
      </c>
      <c r="O16" s="47"/>
      <c r="P16" s="47"/>
      <c r="Q16" s="47">
        <f t="shared" si="0"/>
        <v>93.3</v>
      </c>
      <c r="R16" s="315" t="str">
        <f t="shared" si="1"/>
        <v>NO</v>
      </c>
      <c r="S16" s="670" t="str">
        <f t="shared" si="2"/>
        <v>Inviable Sanitariamente</v>
      </c>
      <c r="T16" s="1"/>
    </row>
    <row r="17" spans="1:20" ht="32.1" customHeight="1">
      <c r="A17" s="562" t="s">
        <v>192</v>
      </c>
      <c r="B17" s="562" t="s">
        <v>620</v>
      </c>
      <c r="C17" s="562" t="s">
        <v>621</v>
      </c>
      <c r="D17" s="304">
        <v>27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15"/>
      <c r="S17" s="670"/>
      <c r="T17" s="1"/>
    </row>
    <row r="18" spans="1:20" ht="32.1" customHeight="1">
      <c r="A18" s="564" t="s">
        <v>3773</v>
      </c>
      <c r="B18" s="566" t="s">
        <v>624</v>
      </c>
      <c r="C18" s="566" t="s">
        <v>625</v>
      </c>
      <c r="D18" s="346">
        <v>118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>
        <v>65</v>
      </c>
      <c r="Q18" s="47">
        <f t="shared" si="0"/>
        <v>65</v>
      </c>
      <c r="R18" s="315" t="str">
        <f t="shared" si="1"/>
        <v>NO</v>
      </c>
      <c r="S18" s="316" t="str">
        <f t="shared" si="2"/>
        <v>Alto</v>
      </c>
      <c r="T18" s="1"/>
    </row>
    <row r="19" spans="1:20" ht="30" customHeight="1">
      <c r="A19" s="564" t="s">
        <v>3773</v>
      </c>
      <c r="B19" s="566" t="s">
        <v>626</v>
      </c>
      <c r="C19" s="566" t="s">
        <v>627</v>
      </c>
      <c r="D19" s="346">
        <v>203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>
        <v>72.400000000000006</v>
      </c>
      <c r="Q19" s="47">
        <f t="shared" si="0"/>
        <v>72.400000000000006</v>
      </c>
      <c r="R19" s="315" t="str">
        <f t="shared" si="1"/>
        <v>NO</v>
      </c>
      <c r="S19" s="316" t="str">
        <f t="shared" si="2"/>
        <v>Alto</v>
      </c>
      <c r="T19" s="1"/>
    </row>
    <row r="20" spans="1:20" ht="32.1" customHeight="1">
      <c r="A20" s="562" t="s">
        <v>3773</v>
      </c>
      <c r="B20" s="566" t="s">
        <v>628</v>
      </c>
      <c r="C20" s="566" t="s">
        <v>629</v>
      </c>
      <c r="D20" s="380">
        <v>63</v>
      </c>
      <c r="E20" s="426"/>
      <c r="F20" s="426"/>
      <c r="G20" s="426"/>
      <c r="H20" s="426"/>
      <c r="I20" s="426"/>
      <c r="J20" s="426">
        <v>23.1</v>
      </c>
      <c r="K20" s="426"/>
      <c r="L20" s="426"/>
      <c r="M20" s="426"/>
      <c r="N20" s="426"/>
      <c r="O20" s="426"/>
      <c r="P20" s="426"/>
      <c r="Q20" s="426">
        <f t="shared" si="0"/>
        <v>23.1</v>
      </c>
      <c r="R20" s="450" t="str">
        <f t="shared" si="1"/>
        <v>NO</v>
      </c>
      <c r="S20" s="672" t="str">
        <f t="shared" si="2"/>
        <v>Medio</v>
      </c>
      <c r="T20" s="1"/>
    </row>
    <row r="21" spans="1:20" ht="32.1" customHeight="1">
      <c r="A21" s="564" t="s">
        <v>194</v>
      </c>
      <c r="B21" s="566" t="s">
        <v>633</v>
      </c>
      <c r="C21" s="566" t="s">
        <v>634</v>
      </c>
      <c r="D21" s="346">
        <v>44</v>
      </c>
      <c r="E21" s="47"/>
      <c r="F21" s="47"/>
      <c r="G21" s="47"/>
      <c r="H21" s="47"/>
      <c r="I21" s="47"/>
      <c r="J21" s="47">
        <v>96.39</v>
      </c>
      <c r="K21" s="47"/>
      <c r="L21" s="536">
        <v>84.21</v>
      </c>
      <c r="M21" s="407"/>
      <c r="N21" s="407"/>
      <c r="O21" s="407"/>
      <c r="P21" s="407"/>
      <c r="Q21" s="47">
        <f t="shared" si="0"/>
        <v>90.3</v>
      </c>
      <c r="R21" s="315" t="str">
        <f t="shared" si="1"/>
        <v>NO</v>
      </c>
      <c r="S21" s="670" t="str">
        <f t="shared" si="2"/>
        <v>Inviable Sanitariamente</v>
      </c>
      <c r="T21" s="1"/>
    </row>
    <row r="22" spans="1:20" ht="32.1" customHeight="1">
      <c r="A22" s="564" t="s">
        <v>194</v>
      </c>
      <c r="B22" s="667" t="s">
        <v>635</v>
      </c>
      <c r="C22" s="566" t="s">
        <v>636</v>
      </c>
      <c r="D22" s="346">
        <v>25</v>
      </c>
      <c r="E22" s="47"/>
      <c r="F22" s="47"/>
      <c r="G22" s="47">
        <v>96.39</v>
      </c>
      <c r="H22" s="47"/>
      <c r="I22" s="47"/>
      <c r="J22" s="47"/>
      <c r="K22" s="47"/>
      <c r="L22" s="536"/>
      <c r="M22" s="407"/>
      <c r="N22" s="407"/>
      <c r="O22" s="407">
        <v>84.21</v>
      </c>
      <c r="P22" s="407"/>
      <c r="Q22" s="47">
        <f t="shared" si="0"/>
        <v>90.3</v>
      </c>
      <c r="R22" s="315" t="str">
        <f t="shared" si="1"/>
        <v>NO</v>
      </c>
      <c r="S22" s="670" t="str">
        <f t="shared" si="2"/>
        <v>Inviable Sanitariamente</v>
      </c>
      <c r="T22" s="1"/>
    </row>
    <row r="23" spans="1:20" ht="32.1" customHeight="1">
      <c r="A23" s="564" t="s">
        <v>194</v>
      </c>
      <c r="B23" s="667" t="s">
        <v>624</v>
      </c>
      <c r="C23" s="667" t="s">
        <v>637</v>
      </c>
      <c r="D23" s="346">
        <v>38</v>
      </c>
      <c r="E23" s="47"/>
      <c r="F23" s="47"/>
      <c r="G23" s="47">
        <v>96.39</v>
      </c>
      <c r="H23" s="47"/>
      <c r="I23" s="47"/>
      <c r="J23" s="47"/>
      <c r="K23" s="47">
        <v>84.21</v>
      </c>
      <c r="L23" s="536"/>
      <c r="M23" s="407"/>
      <c r="N23" s="407"/>
      <c r="O23" s="407"/>
      <c r="P23" s="407"/>
      <c r="Q23" s="47">
        <f t="shared" si="0"/>
        <v>90.3</v>
      </c>
      <c r="R23" s="315" t="str">
        <f t="shared" si="1"/>
        <v>NO</v>
      </c>
      <c r="S23" s="670" t="str">
        <f t="shared" si="2"/>
        <v>Inviable Sanitariamente</v>
      </c>
      <c r="T23" s="1"/>
    </row>
    <row r="24" spans="1:20" ht="32.1" customHeight="1">
      <c r="A24" s="564" t="s">
        <v>195</v>
      </c>
      <c r="B24" s="585" t="s">
        <v>732</v>
      </c>
      <c r="C24" s="585" t="s">
        <v>733</v>
      </c>
      <c r="D24" s="346">
        <v>490</v>
      </c>
      <c r="E24" s="47"/>
      <c r="F24" s="47"/>
      <c r="G24" s="47"/>
      <c r="H24" s="343">
        <v>97.3</v>
      </c>
      <c r="I24" s="47"/>
      <c r="J24" s="47"/>
      <c r="K24" s="47"/>
      <c r="L24" s="469"/>
      <c r="M24" s="47"/>
      <c r="N24" s="47"/>
      <c r="O24" s="47"/>
      <c r="P24" s="47"/>
      <c r="Q24" s="47">
        <f t="shared" si="0"/>
        <v>97.3</v>
      </c>
      <c r="R24" s="315" t="str">
        <f t="shared" si="1"/>
        <v>NO</v>
      </c>
      <c r="S24" s="670" t="str">
        <f t="shared" si="2"/>
        <v>Inviable Sanitariamente</v>
      </c>
      <c r="T24" s="1"/>
    </row>
    <row r="25" spans="1:20" ht="32.1" customHeight="1">
      <c r="A25" s="564" t="s">
        <v>195</v>
      </c>
      <c r="B25" s="585" t="s">
        <v>734</v>
      </c>
      <c r="C25" s="585" t="s">
        <v>735</v>
      </c>
      <c r="D25" s="346">
        <v>305</v>
      </c>
      <c r="E25" s="47"/>
      <c r="F25" s="47"/>
      <c r="G25" s="343">
        <v>97.3</v>
      </c>
      <c r="H25" s="47"/>
      <c r="I25" s="47"/>
      <c r="J25" s="47"/>
      <c r="K25" s="47"/>
      <c r="L25" s="469"/>
      <c r="M25" s="47"/>
      <c r="N25" s="47"/>
      <c r="O25" s="47"/>
      <c r="P25" s="47"/>
      <c r="Q25" s="47">
        <f t="shared" si="0"/>
        <v>97.3</v>
      </c>
      <c r="R25" s="315" t="str">
        <f t="shared" si="1"/>
        <v>NO</v>
      </c>
      <c r="S25" s="670" t="str">
        <f t="shared" si="2"/>
        <v>Inviable Sanitariamente</v>
      </c>
      <c r="T25" s="1"/>
    </row>
    <row r="26" spans="1:20" ht="32.1" customHeight="1">
      <c r="A26" s="562" t="s">
        <v>195</v>
      </c>
      <c r="B26" s="585" t="s">
        <v>736</v>
      </c>
      <c r="C26" s="585" t="s">
        <v>737</v>
      </c>
      <c r="D26" s="346">
        <v>60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15"/>
      <c r="S26" s="670"/>
      <c r="T26" s="1"/>
    </row>
    <row r="27" spans="1:20" ht="32.1" customHeight="1">
      <c r="A27" s="562" t="s">
        <v>195</v>
      </c>
      <c r="B27" s="585" t="s">
        <v>738</v>
      </c>
      <c r="C27" s="585" t="s">
        <v>739</v>
      </c>
      <c r="D27" s="346">
        <v>50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15"/>
      <c r="S27" s="670"/>
      <c r="T27" s="1"/>
    </row>
    <row r="28" spans="1:20" ht="32.1" customHeight="1">
      <c r="A28" s="562" t="s">
        <v>195</v>
      </c>
      <c r="B28" s="585" t="s">
        <v>740</v>
      </c>
      <c r="C28" s="585" t="s">
        <v>741</v>
      </c>
      <c r="D28" s="346">
        <v>72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97.3</v>
      </c>
      <c r="P28" s="47"/>
      <c r="Q28" s="47">
        <f t="shared" si="0"/>
        <v>97.3</v>
      </c>
      <c r="R28" s="315" t="str">
        <f t="shared" si="1"/>
        <v>NO</v>
      </c>
      <c r="S28" s="670" t="str">
        <f t="shared" si="2"/>
        <v>Inviable Sanitariamente</v>
      </c>
      <c r="T28" s="1"/>
    </row>
    <row r="29" spans="1:20" ht="32.1" customHeight="1">
      <c r="A29" s="562" t="s">
        <v>195</v>
      </c>
      <c r="B29" s="585" t="s">
        <v>742</v>
      </c>
      <c r="C29" s="585" t="s">
        <v>743</v>
      </c>
      <c r="D29" s="346">
        <v>80</v>
      </c>
      <c r="E29" s="47"/>
      <c r="F29" s="47">
        <v>96.4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>
        <f t="shared" ref="Q29:Q60" si="3">AVERAGE(E29:P29)</f>
        <v>96.4</v>
      </c>
      <c r="R29" s="315" t="str">
        <f t="shared" ref="R29:R60" si="4">IF(Q29&lt;5,"SI","NO")</f>
        <v>NO</v>
      </c>
      <c r="S29" s="670" t="str">
        <f t="shared" si="2"/>
        <v>Inviable Sanitariamente</v>
      </c>
      <c r="T29" s="1"/>
    </row>
    <row r="30" spans="1:20" ht="32.1" customHeight="1">
      <c r="A30" s="562" t="s">
        <v>195</v>
      </c>
      <c r="B30" s="562" t="s">
        <v>744</v>
      </c>
      <c r="C30" s="586" t="s">
        <v>745</v>
      </c>
      <c r="D30" s="399">
        <v>40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315"/>
      <c r="S30" s="670"/>
      <c r="T30" s="1"/>
    </row>
    <row r="31" spans="1:20" ht="32.1" customHeight="1">
      <c r="A31" s="404" t="s">
        <v>196</v>
      </c>
      <c r="B31" s="328" t="s">
        <v>746</v>
      </c>
      <c r="C31" s="328" t="s">
        <v>4306</v>
      </c>
      <c r="D31" s="312">
        <v>746</v>
      </c>
      <c r="E31" s="469"/>
      <c r="F31" s="47">
        <v>97.3</v>
      </c>
      <c r="G31" s="47"/>
      <c r="H31" s="47">
        <v>96.3</v>
      </c>
      <c r="I31" s="47"/>
      <c r="J31" s="47"/>
      <c r="K31" s="47">
        <v>96.3</v>
      </c>
      <c r="L31" s="47"/>
      <c r="M31" s="339">
        <v>96.3</v>
      </c>
      <c r="N31" s="47"/>
      <c r="O31" s="47">
        <v>96.3</v>
      </c>
      <c r="P31" s="47"/>
      <c r="Q31" s="47">
        <f t="shared" si="3"/>
        <v>96.5</v>
      </c>
      <c r="R31" s="315" t="str">
        <f t="shared" si="4"/>
        <v>NO</v>
      </c>
      <c r="S31" s="670" t="str">
        <f t="shared" si="2"/>
        <v>Inviable Sanitariamente</v>
      </c>
      <c r="T31" s="1"/>
    </row>
    <row r="32" spans="1:20" ht="32.1" customHeight="1">
      <c r="A32" s="404" t="s">
        <v>196</v>
      </c>
      <c r="B32" s="328" t="s">
        <v>748</v>
      </c>
      <c r="C32" s="328" t="s">
        <v>4301</v>
      </c>
      <c r="D32" s="312">
        <v>57</v>
      </c>
      <c r="E32" s="469"/>
      <c r="F32" s="47">
        <v>97.3</v>
      </c>
      <c r="G32" s="47"/>
      <c r="H32" s="47"/>
      <c r="I32" s="47"/>
      <c r="J32" s="47"/>
      <c r="K32" s="47"/>
      <c r="L32" s="47"/>
      <c r="M32" s="339">
        <v>96.3</v>
      </c>
      <c r="N32" s="47"/>
      <c r="O32" s="47"/>
      <c r="P32" s="47"/>
      <c r="Q32" s="47">
        <f t="shared" si="3"/>
        <v>96.8</v>
      </c>
      <c r="R32" s="315" t="str">
        <f t="shared" si="4"/>
        <v>NO</v>
      </c>
      <c r="S32" s="670" t="str">
        <f t="shared" si="2"/>
        <v>Inviable Sanitariamente</v>
      </c>
      <c r="T32" s="1"/>
    </row>
    <row r="33" spans="1:20" ht="32.1" customHeight="1">
      <c r="A33" s="404" t="s">
        <v>196</v>
      </c>
      <c r="B33" s="328" t="s">
        <v>747</v>
      </c>
      <c r="C33" s="328" t="s">
        <v>4302</v>
      </c>
      <c r="D33" s="312">
        <v>102</v>
      </c>
      <c r="E33" s="469"/>
      <c r="F33" s="47">
        <v>97.3</v>
      </c>
      <c r="G33" s="47"/>
      <c r="H33" s="47"/>
      <c r="I33" s="47"/>
      <c r="J33" s="47"/>
      <c r="K33" s="47">
        <v>96.3</v>
      </c>
      <c r="L33" s="47"/>
      <c r="M33" s="339"/>
      <c r="N33" s="47"/>
      <c r="O33" s="47"/>
      <c r="P33" s="47"/>
      <c r="Q33" s="47">
        <f t="shared" si="3"/>
        <v>96.8</v>
      </c>
      <c r="R33" s="315" t="str">
        <f t="shared" si="4"/>
        <v>NO</v>
      </c>
      <c r="S33" s="670" t="str">
        <f t="shared" si="2"/>
        <v>Inviable Sanitariamente</v>
      </c>
      <c r="T33" s="1"/>
    </row>
    <row r="34" spans="1:20" ht="32.1" customHeight="1">
      <c r="A34" s="404" t="s">
        <v>196</v>
      </c>
      <c r="B34" s="328" t="s">
        <v>461</v>
      </c>
      <c r="C34" s="328" t="s">
        <v>4303</v>
      </c>
      <c r="D34" s="312">
        <v>75</v>
      </c>
      <c r="E34" s="469"/>
      <c r="F34" s="47"/>
      <c r="G34" s="47"/>
      <c r="H34" s="47"/>
      <c r="I34" s="47">
        <v>96.3</v>
      </c>
      <c r="J34" s="47"/>
      <c r="K34" s="47">
        <v>96.3</v>
      </c>
      <c r="L34" s="47"/>
      <c r="M34" s="339"/>
      <c r="N34" s="47"/>
      <c r="O34" s="47"/>
      <c r="P34" s="47"/>
      <c r="Q34" s="47">
        <f t="shared" si="3"/>
        <v>96.3</v>
      </c>
      <c r="R34" s="315" t="str">
        <f t="shared" si="4"/>
        <v>NO</v>
      </c>
      <c r="S34" s="670" t="str">
        <f t="shared" si="2"/>
        <v>Inviable Sanitariamente</v>
      </c>
      <c r="T34" s="1"/>
    </row>
    <row r="35" spans="1:20" ht="32.1" customHeight="1">
      <c r="A35" s="404" t="s">
        <v>196</v>
      </c>
      <c r="B35" s="328" t="s">
        <v>749</v>
      </c>
      <c r="C35" s="328" t="s">
        <v>4300</v>
      </c>
      <c r="D35" s="312">
        <v>60</v>
      </c>
      <c r="E35" s="469"/>
      <c r="F35" s="47"/>
      <c r="G35" s="47"/>
      <c r="H35" s="47"/>
      <c r="I35" s="47">
        <v>96.3</v>
      </c>
      <c r="J35" s="47"/>
      <c r="K35" s="47">
        <v>96.3</v>
      </c>
      <c r="L35" s="47"/>
      <c r="M35" s="339"/>
      <c r="N35" s="47"/>
      <c r="O35" s="339"/>
      <c r="P35" s="47"/>
      <c r="Q35" s="47">
        <f t="shared" si="3"/>
        <v>96.3</v>
      </c>
      <c r="R35" s="315" t="str">
        <f t="shared" si="4"/>
        <v>NO</v>
      </c>
      <c r="S35" s="670" t="str">
        <f t="shared" si="2"/>
        <v>Inviable Sanitariamente</v>
      </c>
      <c r="T35" s="1"/>
    </row>
    <row r="36" spans="1:20" ht="32.1" customHeight="1">
      <c r="A36" s="404" t="s">
        <v>196</v>
      </c>
      <c r="B36" s="328" t="s">
        <v>750</v>
      </c>
      <c r="C36" s="328" t="s">
        <v>4299</v>
      </c>
      <c r="D36" s="312">
        <v>48</v>
      </c>
      <c r="E36" s="469"/>
      <c r="F36" s="47">
        <v>97.3</v>
      </c>
      <c r="G36" s="47"/>
      <c r="H36" s="47"/>
      <c r="I36" s="47"/>
      <c r="J36" s="47"/>
      <c r="K36" s="47">
        <v>96.3</v>
      </c>
      <c r="L36" s="47"/>
      <c r="M36" s="339"/>
      <c r="N36" s="47"/>
      <c r="O36" s="47"/>
      <c r="P36" s="47"/>
      <c r="Q36" s="47">
        <f t="shared" si="3"/>
        <v>96.8</v>
      </c>
      <c r="R36" s="315" t="str">
        <f t="shared" si="4"/>
        <v>NO</v>
      </c>
      <c r="S36" s="670" t="str">
        <f t="shared" si="2"/>
        <v>Inviable Sanitariamente</v>
      </c>
      <c r="T36" s="1"/>
    </row>
    <row r="37" spans="1:20" ht="32.1" customHeight="1">
      <c r="A37" s="404" t="s">
        <v>196</v>
      </c>
      <c r="B37" s="328" t="s">
        <v>751</v>
      </c>
      <c r="C37" s="328" t="s">
        <v>4298</v>
      </c>
      <c r="D37" s="312">
        <v>34</v>
      </c>
      <c r="E37" s="469"/>
      <c r="F37" s="47">
        <v>97.3</v>
      </c>
      <c r="G37" s="47"/>
      <c r="H37" s="47"/>
      <c r="I37" s="47"/>
      <c r="J37" s="47"/>
      <c r="K37" s="47">
        <v>96.3</v>
      </c>
      <c r="L37" s="47"/>
      <c r="M37" s="339"/>
      <c r="N37" s="47"/>
      <c r="O37" s="47"/>
      <c r="P37" s="47"/>
      <c r="Q37" s="47">
        <f t="shared" si="3"/>
        <v>96.8</v>
      </c>
      <c r="R37" s="315" t="str">
        <f t="shared" si="4"/>
        <v>NO</v>
      </c>
      <c r="S37" s="670" t="str">
        <f t="shared" si="2"/>
        <v>Inviable Sanitariamente</v>
      </c>
      <c r="T37" s="1"/>
    </row>
    <row r="38" spans="1:20" ht="32.1" customHeight="1">
      <c r="A38" s="404" t="s">
        <v>196</v>
      </c>
      <c r="B38" s="328" t="s">
        <v>414</v>
      </c>
      <c r="C38" s="328" t="s">
        <v>752</v>
      </c>
      <c r="D38" s="312">
        <v>40</v>
      </c>
      <c r="E38" s="469"/>
      <c r="F38" s="47">
        <v>97.3</v>
      </c>
      <c r="G38" s="47"/>
      <c r="H38" s="47"/>
      <c r="I38" s="47"/>
      <c r="J38" s="47"/>
      <c r="K38" s="47"/>
      <c r="L38" s="47"/>
      <c r="M38" s="339">
        <v>96.3</v>
      </c>
      <c r="N38" s="47"/>
      <c r="O38" s="47"/>
      <c r="P38" s="47"/>
      <c r="Q38" s="47">
        <f t="shared" si="3"/>
        <v>96.8</v>
      </c>
      <c r="R38" s="315" t="str">
        <f t="shared" si="4"/>
        <v>NO</v>
      </c>
      <c r="S38" s="670" t="str">
        <f t="shared" si="2"/>
        <v>Inviable Sanitariamente</v>
      </c>
      <c r="T38" s="1"/>
    </row>
    <row r="39" spans="1:20" ht="32.1" customHeight="1">
      <c r="A39" s="404" t="s">
        <v>196</v>
      </c>
      <c r="B39" s="328" t="s">
        <v>753</v>
      </c>
      <c r="C39" s="328" t="s">
        <v>754</v>
      </c>
      <c r="D39" s="312">
        <v>23</v>
      </c>
      <c r="E39" s="469"/>
      <c r="F39" s="47">
        <v>97.3</v>
      </c>
      <c r="G39" s="47"/>
      <c r="H39" s="47"/>
      <c r="I39" s="47"/>
      <c r="J39" s="47"/>
      <c r="K39" s="47">
        <v>96.3</v>
      </c>
      <c r="L39" s="47"/>
      <c r="M39" s="339"/>
      <c r="N39" s="47"/>
      <c r="O39" s="47"/>
      <c r="P39" s="47"/>
      <c r="Q39" s="47">
        <f t="shared" si="3"/>
        <v>96.8</v>
      </c>
      <c r="R39" s="315" t="str">
        <f t="shared" si="4"/>
        <v>NO</v>
      </c>
      <c r="S39" s="670" t="str">
        <f t="shared" si="2"/>
        <v>Inviable Sanitariamente</v>
      </c>
      <c r="T39" s="1"/>
    </row>
    <row r="40" spans="1:20" ht="32.1" customHeight="1">
      <c r="A40" s="404" t="s">
        <v>196</v>
      </c>
      <c r="B40" s="328" t="s">
        <v>755</v>
      </c>
      <c r="C40" s="328" t="s">
        <v>756</v>
      </c>
      <c r="D40" s="474">
        <v>44</v>
      </c>
      <c r="E40" s="469"/>
      <c r="F40" s="47"/>
      <c r="G40" s="47"/>
      <c r="H40" s="47"/>
      <c r="I40" s="47"/>
      <c r="J40" s="47">
        <v>96.3</v>
      </c>
      <c r="K40" s="47"/>
      <c r="L40" s="47"/>
      <c r="M40" s="47"/>
      <c r="N40" s="47"/>
      <c r="O40" s="47">
        <v>96.3</v>
      </c>
      <c r="P40" s="47"/>
      <c r="Q40" s="47">
        <f t="shared" si="3"/>
        <v>96.3</v>
      </c>
      <c r="R40" s="315" t="str">
        <f t="shared" si="4"/>
        <v>NO</v>
      </c>
      <c r="S40" s="670" t="str">
        <f t="shared" si="2"/>
        <v>Inviable Sanitariamente</v>
      </c>
      <c r="T40" s="1"/>
    </row>
    <row r="41" spans="1:20" ht="32.1" customHeight="1">
      <c r="A41" s="404" t="s">
        <v>196</v>
      </c>
      <c r="B41" s="328" t="s">
        <v>757</v>
      </c>
      <c r="C41" s="328" t="s">
        <v>758</v>
      </c>
      <c r="D41" s="312">
        <v>35</v>
      </c>
      <c r="E41" s="469"/>
      <c r="F41" s="47">
        <v>97.3</v>
      </c>
      <c r="G41" s="47"/>
      <c r="H41" s="47"/>
      <c r="I41" s="47"/>
      <c r="J41" s="47"/>
      <c r="K41" s="47">
        <v>96.3</v>
      </c>
      <c r="L41" s="47"/>
      <c r="M41" s="339"/>
      <c r="N41" s="47"/>
      <c r="O41" s="47"/>
      <c r="P41" s="47"/>
      <c r="Q41" s="47">
        <f t="shared" si="3"/>
        <v>96.8</v>
      </c>
      <c r="R41" s="315" t="str">
        <f t="shared" si="4"/>
        <v>NO</v>
      </c>
      <c r="S41" s="670" t="str">
        <f t="shared" si="2"/>
        <v>Inviable Sanitariamente</v>
      </c>
      <c r="T41" s="1"/>
    </row>
    <row r="42" spans="1:20" ht="32.1" customHeight="1">
      <c r="A42" s="404" t="s">
        <v>196</v>
      </c>
      <c r="B42" s="328" t="s">
        <v>759</v>
      </c>
      <c r="C42" s="328" t="s">
        <v>760</v>
      </c>
      <c r="D42" s="474">
        <v>25</v>
      </c>
      <c r="E42" s="469"/>
      <c r="F42" s="47"/>
      <c r="G42" s="47">
        <v>100</v>
      </c>
      <c r="H42" s="47"/>
      <c r="I42" s="47"/>
      <c r="J42" s="47"/>
      <c r="K42" s="47"/>
      <c r="L42" s="47"/>
      <c r="M42" s="47">
        <v>96.3</v>
      </c>
      <c r="N42" s="47"/>
      <c r="O42" s="47"/>
      <c r="P42" s="47"/>
      <c r="Q42" s="47">
        <f t="shared" si="3"/>
        <v>98.15</v>
      </c>
      <c r="R42" s="315" t="str">
        <f t="shared" si="4"/>
        <v>NO</v>
      </c>
      <c r="S42" s="670" t="str">
        <f t="shared" si="2"/>
        <v>Inviable Sanitariamente</v>
      </c>
      <c r="T42" s="1"/>
    </row>
    <row r="43" spans="1:20" ht="32.1" customHeight="1">
      <c r="A43" s="404" t="s">
        <v>196</v>
      </c>
      <c r="B43" s="328" t="s">
        <v>761</v>
      </c>
      <c r="C43" s="328" t="s">
        <v>762</v>
      </c>
      <c r="D43" s="312">
        <v>44</v>
      </c>
      <c r="E43" s="469"/>
      <c r="F43" s="47">
        <v>97.3</v>
      </c>
      <c r="G43" s="47"/>
      <c r="H43" s="47"/>
      <c r="I43" s="47"/>
      <c r="J43" s="47"/>
      <c r="K43" s="47">
        <v>96.3</v>
      </c>
      <c r="L43" s="47"/>
      <c r="M43" s="339"/>
      <c r="N43" s="47"/>
      <c r="O43" s="47"/>
      <c r="P43" s="47"/>
      <c r="Q43" s="47">
        <f t="shared" si="3"/>
        <v>96.8</v>
      </c>
      <c r="R43" s="315" t="str">
        <f t="shared" si="4"/>
        <v>NO</v>
      </c>
      <c r="S43" s="670" t="str">
        <f t="shared" si="2"/>
        <v>Inviable Sanitariamente</v>
      </c>
      <c r="T43" s="1"/>
    </row>
    <row r="44" spans="1:20" ht="32.1" customHeight="1">
      <c r="A44" s="404" t="s">
        <v>196</v>
      </c>
      <c r="B44" s="328" t="s">
        <v>763</v>
      </c>
      <c r="C44" s="328" t="s">
        <v>764</v>
      </c>
      <c r="D44" s="312">
        <v>56</v>
      </c>
      <c r="E44" s="469"/>
      <c r="F44" s="47">
        <v>97.3</v>
      </c>
      <c r="G44" s="47"/>
      <c r="H44" s="47"/>
      <c r="I44" s="47"/>
      <c r="J44" s="47"/>
      <c r="K44" s="47">
        <v>96.3</v>
      </c>
      <c r="L44" s="47"/>
      <c r="M44" s="339"/>
      <c r="N44" s="47"/>
      <c r="O44" s="47"/>
      <c r="P44" s="47"/>
      <c r="Q44" s="47">
        <f t="shared" si="3"/>
        <v>96.8</v>
      </c>
      <c r="R44" s="315" t="str">
        <f t="shared" si="4"/>
        <v>NO</v>
      </c>
      <c r="S44" s="670" t="str">
        <f t="shared" si="2"/>
        <v>Inviable Sanitariamente</v>
      </c>
      <c r="T44" s="1"/>
    </row>
    <row r="45" spans="1:20" ht="32.1" customHeight="1">
      <c r="A45" s="404" t="s">
        <v>196</v>
      </c>
      <c r="B45" s="328" t="s">
        <v>765</v>
      </c>
      <c r="C45" s="328" t="s">
        <v>766</v>
      </c>
      <c r="D45" s="474">
        <v>1400</v>
      </c>
      <c r="E45" s="469"/>
      <c r="F45" s="47">
        <v>97.3</v>
      </c>
      <c r="G45" s="47"/>
      <c r="H45" s="47">
        <v>96.3</v>
      </c>
      <c r="I45" s="47">
        <v>96.3</v>
      </c>
      <c r="J45" s="47"/>
      <c r="K45" s="47">
        <v>24</v>
      </c>
      <c r="L45" s="47"/>
      <c r="M45" s="47">
        <v>0</v>
      </c>
      <c r="N45" s="47"/>
      <c r="O45" s="47">
        <v>0</v>
      </c>
      <c r="P45" s="47">
        <v>0</v>
      </c>
      <c r="Q45" s="47">
        <f t="shared" si="3"/>
        <v>44.842857142857142</v>
      </c>
      <c r="R45" s="315" t="str">
        <f t="shared" si="4"/>
        <v>NO</v>
      </c>
      <c r="S45" s="670" t="str">
        <f t="shared" si="2"/>
        <v>Alto</v>
      </c>
      <c r="T45" s="1"/>
    </row>
    <row r="46" spans="1:20" ht="32.1" customHeight="1">
      <c r="A46" s="404" t="s">
        <v>196</v>
      </c>
      <c r="B46" s="328" t="s">
        <v>767</v>
      </c>
      <c r="C46" s="328" t="s">
        <v>768</v>
      </c>
      <c r="D46" s="474">
        <v>26</v>
      </c>
      <c r="E46" s="469"/>
      <c r="F46" s="47"/>
      <c r="G46" s="47"/>
      <c r="H46" s="47"/>
      <c r="I46" s="47"/>
      <c r="J46" s="47">
        <v>96.3</v>
      </c>
      <c r="K46" s="47"/>
      <c r="L46" s="47"/>
      <c r="M46" s="47"/>
      <c r="N46" s="47">
        <v>96.3</v>
      </c>
      <c r="O46" s="47"/>
      <c r="P46" s="47"/>
      <c r="Q46" s="47">
        <f t="shared" si="3"/>
        <v>96.3</v>
      </c>
      <c r="R46" s="315" t="str">
        <f t="shared" si="4"/>
        <v>NO</v>
      </c>
      <c r="S46" s="670" t="str">
        <f t="shared" si="2"/>
        <v>Inviable Sanitariamente</v>
      </c>
      <c r="T46" s="1"/>
    </row>
    <row r="47" spans="1:20" ht="32.1" customHeight="1">
      <c r="A47" s="404" t="s">
        <v>196</v>
      </c>
      <c r="B47" s="328" t="s">
        <v>769</v>
      </c>
      <c r="C47" s="328" t="s">
        <v>770</v>
      </c>
      <c r="D47" s="474">
        <v>23</v>
      </c>
      <c r="E47" s="469"/>
      <c r="F47" s="47"/>
      <c r="G47" s="47">
        <v>97.3</v>
      </c>
      <c r="H47" s="47"/>
      <c r="I47" s="47"/>
      <c r="J47" s="47"/>
      <c r="K47" s="47"/>
      <c r="L47" s="47"/>
      <c r="M47" s="47"/>
      <c r="N47" s="47"/>
      <c r="O47" s="47">
        <v>96.3</v>
      </c>
      <c r="P47" s="47"/>
      <c r="Q47" s="47">
        <f t="shared" si="3"/>
        <v>96.8</v>
      </c>
      <c r="R47" s="315" t="str">
        <f t="shared" si="4"/>
        <v>NO</v>
      </c>
      <c r="S47" s="670" t="str">
        <f t="shared" si="2"/>
        <v>Inviable Sanitariamente</v>
      </c>
      <c r="T47" s="1"/>
    </row>
    <row r="48" spans="1:20" ht="32.1" customHeight="1">
      <c r="A48" s="404" t="s">
        <v>196</v>
      </c>
      <c r="B48" s="301" t="s">
        <v>771</v>
      </c>
      <c r="C48" s="340" t="s">
        <v>772</v>
      </c>
      <c r="D48" s="474">
        <v>67</v>
      </c>
      <c r="E48" s="469"/>
      <c r="F48" s="47"/>
      <c r="G48" s="47"/>
      <c r="H48" s="47"/>
      <c r="I48" s="47"/>
      <c r="J48" s="47">
        <v>96.3</v>
      </c>
      <c r="K48" s="47"/>
      <c r="L48" s="47"/>
      <c r="M48" s="47"/>
      <c r="N48" s="47"/>
      <c r="O48" s="47">
        <v>96.3</v>
      </c>
      <c r="P48" s="47"/>
      <c r="Q48" s="47">
        <f t="shared" si="3"/>
        <v>96.3</v>
      </c>
      <c r="R48" s="315" t="str">
        <f t="shared" si="4"/>
        <v>NO</v>
      </c>
      <c r="S48" s="670" t="str">
        <f t="shared" si="2"/>
        <v>Inviable Sanitariamente</v>
      </c>
      <c r="T48" s="1"/>
    </row>
    <row r="49" spans="1:20" ht="32.1" customHeight="1">
      <c r="A49" s="404" t="s">
        <v>196</v>
      </c>
      <c r="B49" s="328" t="s">
        <v>773</v>
      </c>
      <c r="C49" s="328" t="s">
        <v>774</v>
      </c>
      <c r="D49" s="474">
        <v>44</v>
      </c>
      <c r="E49" s="469"/>
      <c r="F49" s="47"/>
      <c r="G49" s="47"/>
      <c r="H49" s="47"/>
      <c r="I49" s="47">
        <v>96.3</v>
      </c>
      <c r="J49" s="47"/>
      <c r="K49" s="47"/>
      <c r="L49" s="47"/>
      <c r="M49" s="47">
        <v>96.3</v>
      </c>
      <c r="N49" s="47"/>
      <c r="O49" s="47"/>
      <c r="P49" s="47"/>
      <c r="Q49" s="47">
        <f t="shared" si="3"/>
        <v>96.3</v>
      </c>
      <c r="R49" s="315" t="str">
        <f t="shared" si="4"/>
        <v>NO</v>
      </c>
      <c r="S49" s="670" t="str">
        <f t="shared" si="2"/>
        <v>Inviable Sanitariamente</v>
      </c>
      <c r="T49" s="1"/>
    </row>
    <row r="50" spans="1:20" ht="32.1" customHeight="1">
      <c r="A50" s="404" t="s">
        <v>196</v>
      </c>
      <c r="B50" s="328" t="s">
        <v>775</v>
      </c>
      <c r="C50" s="328" t="s">
        <v>776</v>
      </c>
      <c r="D50" s="474">
        <v>45</v>
      </c>
      <c r="E50" s="469"/>
      <c r="F50" s="47"/>
      <c r="G50" s="47"/>
      <c r="H50" s="47"/>
      <c r="I50" s="47">
        <v>96.3</v>
      </c>
      <c r="J50" s="47"/>
      <c r="K50" s="47"/>
      <c r="L50" s="47"/>
      <c r="M50" s="47">
        <v>96.3</v>
      </c>
      <c r="N50" s="47"/>
      <c r="O50" s="47"/>
      <c r="P50" s="47"/>
      <c r="Q50" s="47">
        <f t="shared" si="3"/>
        <v>96.3</v>
      </c>
      <c r="R50" s="315" t="str">
        <f t="shared" si="4"/>
        <v>NO</v>
      </c>
      <c r="S50" s="670" t="str">
        <f t="shared" si="2"/>
        <v>Inviable Sanitariamente</v>
      </c>
      <c r="T50" s="1"/>
    </row>
    <row r="51" spans="1:20" ht="32.1" customHeight="1">
      <c r="A51" s="404" t="s">
        <v>196</v>
      </c>
      <c r="B51" s="328" t="s">
        <v>777</v>
      </c>
      <c r="C51" s="328" t="s">
        <v>778</v>
      </c>
      <c r="D51" s="474">
        <v>44</v>
      </c>
      <c r="E51" s="469"/>
      <c r="F51" s="47"/>
      <c r="G51" s="47"/>
      <c r="H51" s="47"/>
      <c r="I51" s="47"/>
      <c r="J51" s="47">
        <v>96.3</v>
      </c>
      <c r="K51" s="47"/>
      <c r="L51" s="47"/>
      <c r="M51" s="47">
        <v>96.3</v>
      </c>
      <c r="N51" s="47"/>
      <c r="O51" s="47"/>
      <c r="P51" s="47"/>
      <c r="Q51" s="47">
        <f t="shared" si="3"/>
        <v>96.3</v>
      </c>
      <c r="R51" s="315" t="str">
        <f t="shared" si="4"/>
        <v>NO</v>
      </c>
      <c r="S51" s="670" t="str">
        <f t="shared" si="2"/>
        <v>Inviable Sanitariamente</v>
      </c>
      <c r="T51" s="1"/>
    </row>
    <row r="52" spans="1:20" ht="32.1" customHeight="1">
      <c r="A52" s="404" t="s">
        <v>196</v>
      </c>
      <c r="B52" s="301" t="s">
        <v>779</v>
      </c>
      <c r="C52" s="328" t="s">
        <v>780</v>
      </c>
      <c r="D52" s="312">
        <v>80</v>
      </c>
      <c r="E52" s="469"/>
      <c r="F52" s="47"/>
      <c r="G52" s="47">
        <v>70.8</v>
      </c>
      <c r="H52" s="47"/>
      <c r="I52" s="47"/>
      <c r="J52" s="47"/>
      <c r="K52" s="47"/>
      <c r="L52" s="47"/>
      <c r="M52" s="339">
        <v>96.3</v>
      </c>
      <c r="N52" s="47"/>
      <c r="O52" s="47"/>
      <c r="P52" s="47"/>
      <c r="Q52" s="47">
        <f t="shared" si="3"/>
        <v>83.55</v>
      </c>
      <c r="R52" s="315" t="str">
        <f t="shared" si="4"/>
        <v>NO</v>
      </c>
      <c r="S52" s="670" t="str">
        <f t="shared" si="2"/>
        <v>Inviable Sanitariamente</v>
      </c>
      <c r="T52" s="1"/>
    </row>
    <row r="53" spans="1:20" ht="32.1" customHeight="1">
      <c r="A53" s="404" t="s">
        <v>196</v>
      </c>
      <c r="B53" s="328" t="s">
        <v>781</v>
      </c>
      <c r="C53" s="328" t="s">
        <v>782</v>
      </c>
      <c r="D53" s="474">
        <v>39</v>
      </c>
      <c r="E53" s="469"/>
      <c r="F53" s="47"/>
      <c r="G53" s="47"/>
      <c r="H53" s="47">
        <v>96.3</v>
      </c>
      <c r="I53" s="47"/>
      <c r="J53" s="47"/>
      <c r="K53" s="47"/>
      <c r="L53" s="47"/>
      <c r="M53" s="47"/>
      <c r="N53" s="47"/>
      <c r="O53" s="47">
        <v>96.3</v>
      </c>
      <c r="P53" s="47"/>
      <c r="Q53" s="47">
        <f t="shared" si="3"/>
        <v>96.3</v>
      </c>
      <c r="R53" s="315" t="str">
        <f t="shared" si="4"/>
        <v>NO</v>
      </c>
      <c r="S53" s="670" t="str">
        <f t="shared" si="2"/>
        <v>Inviable Sanitariamente</v>
      </c>
      <c r="T53" s="1"/>
    </row>
    <row r="54" spans="1:20" ht="32.1" customHeight="1">
      <c r="A54" s="404" t="s">
        <v>196</v>
      </c>
      <c r="B54" s="328" t="s">
        <v>783</v>
      </c>
      <c r="C54" s="328" t="s">
        <v>784</v>
      </c>
      <c r="D54" s="312">
        <v>65</v>
      </c>
      <c r="E54" s="469"/>
      <c r="F54" s="47"/>
      <c r="G54" s="591">
        <v>97.3</v>
      </c>
      <c r="H54" s="47"/>
      <c r="I54" s="47"/>
      <c r="J54" s="47"/>
      <c r="K54" s="47"/>
      <c r="L54" s="47"/>
      <c r="M54" s="339">
        <v>96.3</v>
      </c>
      <c r="N54" s="47"/>
      <c r="O54" s="47"/>
      <c r="P54" s="47"/>
      <c r="Q54" s="47">
        <f t="shared" si="3"/>
        <v>96.8</v>
      </c>
      <c r="R54" s="315" t="str">
        <f t="shared" si="4"/>
        <v>NO</v>
      </c>
      <c r="S54" s="670" t="str">
        <f t="shared" si="2"/>
        <v>Inviable Sanitariamente</v>
      </c>
      <c r="T54" s="1"/>
    </row>
    <row r="55" spans="1:20" ht="32.1" customHeight="1">
      <c r="A55" s="404" t="s">
        <v>196</v>
      </c>
      <c r="B55" s="301" t="s">
        <v>48</v>
      </c>
      <c r="C55" s="328" t="s">
        <v>785</v>
      </c>
      <c r="D55" s="312">
        <v>55</v>
      </c>
      <c r="E55" s="469"/>
      <c r="F55" s="47"/>
      <c r="G55" s="47">
        <v>97.3</v>
      </c>
      <c r="H55" s="47"/>
      <c r="I55" s="47"/>
      <c r="J55" s="47"/>
      <c r="K55" s="47"/>
      <c r="L55" s="47"/>
      <c r="M55" s="47"/>
      <c r="N55" s="47"/>
      <c r="O55" s="47">
        <v>96.3</v>
      </c>
      <c r="P55" s="47"/>
      <c r="Q55" s="47">
        <f t="shared" si="3"/>
        <v>96.8</v>
      </c>
      <c r="R55" s="315" t="str">
        <f t="shared" si="4"/>
        <v>NO</v>
      </c>
      <c r="S55" s="670" t="str">
        <f t="shared" si="2"/>
        <v>Inviable Sanitariamente</v>
      </c>
      <c r="T55" s="1"/>
    </row>
    <row r="56" spans="1:20" ht="32.1" customHeight="1">
      <c r="A56" s="404" t="s">
        <v>196</v>
      </c>
      <c r="B56" s="328" t="s">
        <v>786</v>
      </c>
      <c r="C56" s="328" t="s">
        <v>787</v>
      </c>
      <c r="D56" s="312">
        <v>38</v>
      </c>
      <c r="E56" s="469"/>
      <c r="F56" s="47"/>
      <c r="G56" s="47"/>
      <c r="H56" s="47">
        <v>96.3</v>
      </c>
      <c r="I56" s="47"/>
      <c r="J56" s="47"/>
      <c r="K56" s="47"/>
      <c r="L56" s="47"/>
      <c r="M56" s="47"/>
      <c r="N56" s="47"/>
      <c r="O56" s="47">
        <v>96.3</v>
      </c>
      <c r="P56" s="47"/>
      <c r="Q56" s="47">
        <f t="shared" si="3"/>
        <v>96.3</v>
      </c>
      <c r="R56" s="315" t="str">
        <f t="shared" si="4"/>
        <v>NO</v>
      </c>
      <c r="S56" s="670" t="str">
        <f t="shared" si="2"/>
        <v>Inviable Sanitariamente</v>
      </c>
      <c r="T56" s="1"/>
    </row>
    <row r="57" spans="1:20" ht="32.1" customHeight="1">
      <c r="A57" s="404" t="s">
        <v>196</v>
      </c>
      <c r="B57" s="328" t="s">
        <v>788</v>
      </c>
      <c r="C57" s="328" t="s">
        <v>789</v>
      </c>
      <c r="D57" s="312">
        <v>64</v>
      </c>
      <c r="E57" s="469"/>
      <c r="F57" s="47"/>
      <c r="G57" s="47"/>
      <c r="H57" s="47">
        <v>96.3</v>
      </c>
      <c r="I57" s="47"/>
      <c r="J57" s="47"/>
      <c r="K57" s="47"/>
      <c r="L57" s="47"/>
      <c r="M57" s="47"/>
      <c r="N57" s="47"/>
      <c r="O57" s="47">
        <v>96.3</v>
      </c>
      <c r="P57" s="47"/>
      <c r="Q57" s="47">
        <f t="shared" si="3"/>
        <v>96.3</v>
      </c>
      <c r="R57" s="315" t="str">
        <f t="shared" si="4"/>
        <v>NO</v>
      </c>
      <c r="S57" s="670" t="str">
        <f t="shared" si="2"/>
        <v>Inviable Sanitariamente</v>
      </c>
      <c r="T57" s="1"/>
    </row>
    <row r="58" spans="1:20" ht="32.1" customHeight="1">
      <c r="A58" s="404" t="s">
        <v>196</v>
      </c>
      <c r="B58" s="301" t="s">
        <v>790</v>
      </c>
      <c r="C58" s="301" t="s">
        <v>791</v>
      </c>
      <c r="D58" s="474">
        <v>215</v>
      </c>
      <c r="E58" s="469"/>
      <c r="F58" s="47">
        <v>97.3</v>
      </c>
      <c r="G58" s="47"/>
      <c r="H58" s="47"/>
      <c r="I58" s="47">
        <v>96.3</v>
      </c>
      <c r="J58" s="47"/>
      <c r="K58" s="47">
        <v>96.3</v>
      </c>
      <c r="L58" s="47"/>
      <c r="M58" s="339"/>
      <c r="N58" s="47"/>
      <c r="O58" s="47">
        <v>96.3</v>
      </c>
      <c r="P58" s="47"/>
      <c r="Q58" s="47">
        <f t="shared" si="3"/>
        <v>96.55</v>
      </c>
      <c r="R58" s="315" t="str">
        <f t="shared" si="4"/>
        <v>NO</v>
      </c>
      <c r="S58" s="670" t="str">
        <f t="shared" si="2"/>
        <v>Inviable Sanitariamente</v>
      </c>
      <c r="T58" s="1"/>
    </row>
    <row r="59" spans="1:20" ht="32.1" customHeight="1">
      <c r="A59" s="404" t="s">
        <v>196</v>
      </c>
      <c r="B59" s="301" t="s">
        <v>790</v>
      </c>
      <c r="C59" s="301" t="s">
        <v>792</v>
      </c>
      <c r="D59" s="474">
        <v>670</v>
      </c>
      <c r="E59" s="469"/>
      <c r="F59" s="47">
        <v>70.8</v>
      </c>
      <c r="G59" s="47"/>
      <c r="H59" s="47">
        <v>96.3</v>
      </c>
      <c r="I59" s="47">
        <v>96.3</v>
      </c>
      <c r="J59" s="47"/>
      <c r="K59" s="47">
        <v>96.3</v>
      </c>
      <c r="L59" s="47"/>
      <c r="M59" s="339">
        <v>96.3</v>
      </c>
      <c r="N59" s="47"/>
      <c r="O59" s="47">
        <v>96.3</v>
      </c>
      <c r="P59" s="47"/>
      <c r="Q59" s="47">
        <f t="shared" si="3"/>
        <v>92.05</v>
      </c>
      <c r="R59" s="315" t="str">
        <f t="shared" si="4"/>
        <v>NO</v>
      </c>
      <c r="S59" s="670" t="str">
        <f t="shared" si="2"/>
        <v>Inviable Sanitariamente</v>
      </c>
      <c r="T59" s="1"/>
    </row>
    <row r="60" spans="1:20" ht="32.1" customHeight="1">
      <c r="A60" s="404" t="s">
        <v>196</v>
      </c>
      <c r="B60" s="301" t="s">
        <v>4304</v>
      </c>
      <c r="C60" s="301" t="s">
        <v>4305</v>
      </c>
      <c r="D60" s="474">
        <v>38</v>
      </c>
      <c r="E60" s="469"/>
      <c r="F60" s="47"/>
      <c r="G60" s="47">
        <v>70.8</v>
      </c>
      <c r="H60" s="47"/>
      <c r="I60" s="47"/>
      <c r="J60" s="47"/>
      <c r="K60" s="47"/>
      <c r="L60" s="47"/>
      <c r="M60" s="47">
        <v>96.3</v>
      </c>
      <c r="N60" s="47"/>
      <c r="O60" s="47"/>
      <c r="P60" s="47"/>
      <c r="Q60" s="47">
        <f t="shared" si="3"/>
        <v>83.55</v>
      </c>
      <c r="R60" s="315" t="str">
        <f t="shared" si="4"/>
        <v>NO</v>
      </c>
      <c r="S60" s="670" t="str">
        <f t="shared" si="2"/>
        <v>Inviable Sanitariamente</v>
      </c>
      <c r="T60" s="1"/>
    </row>
    <row r="61" spans="1:20" ht="32.1" customHeight="1">
      <c r="A61" s="404" t="s">
        <v>196</v>
      </c>
      <c r="B61" s="301" t="s">
        <v>793</v>
      </c>
      <c r="C61" s="301" t="s">
        <v>794</v>
      </c>
      <c r="D61" s="474">
        <v>60</v>
      </c>
      <c r="E61" s="469"/>
      <c r="F61" s="47"/>
      <c r="G61" s="47">
        <v>70.8</v>
      </c>
      <c r="H61" s="47"/>
      <c r="I61" s="47"/>
      <c r="J61" s="47"/>
      <c r="K61" s="47"/>
      <c r="L61" s="47"/>
      <c r="M61" s="47">
        <v>96.3</v>
      </c>
      <c r="N61" s="47"/>
      <c r="O61" s="47"/>
      <c r="P61" s="47"/>
      <c r="Q61" s="47">
        <f t="shared" ref="Q61:Q94" si="5">AVERAGE(E61:P61)</f>
        <v>83.55</v>
      </c>
      <c r="R61" s="315" t="str">
        <f t="shared" ref="R61:R94" si="6">IF(Q61&lt;5,"SI","NO")</f>
        <v>NO</v>
      </c>
      <c r="S61" s="670" t="str">
        <f t="shared" si="2"/>
        <v>Inviable Sanitariamente</v>
      </c>
      <c r="T61" s="1"/>
    </row>
    <row r="62" spans="1:20" ht="32.1" customHeight="1">
      <c r="A62" s="404" t="s">
        <v>196</v>
      </c>
      <c r="B62" s="301" t="s">
        <v>795</v>
      </c>
      <c r="C62" s="301" t="s">
        <v>796</v>
      </c>
      <c r="D62" s="474">
        <v>28</v>
      </c>
      <c r="E62" s="469"/>
      <c r="F62" s="47"/>
      <c r="G62" s="47"/>
      <c r="H62" s="47"/>
      <c r="I62" s="47"/>
      <c r="J62" s="47">
        <v>96.3</v>
      </c>
      <c r="K62" s="47"/>
      <c r="L62" s="47"/>
      <c r="M62" s="47"/>
      <c r="N62" s="47"/>
      <c r="O62" s="47">
        <v>96.3</v>
      </c>
      <c r="P62" s="47"/>
      <c r="Q62" s="47">
        <f t="shared" si="5"/>
        <v>96.3</v>
      </c>
      <c r="R62" s="315" t="str">
        <f t="shared" si="6"/>
        <v>NO</v>
      </c>
      <c r="S62" s="670" t="str">
        <f t="shared" si="2"/>
        <v>Inviable Sanitariamente</v>
      </c>
      <c r="T62" s="1"/>
    </row>
    <row r="63" spans="1:20" s="199" customFormat="1" ht="32.1" customHeight="1">
      <c r="A63" s="404" t="s">
        <v>196</v>
      </c>
      <c r="B63" s="301" t="s">
        <v>797</v>
      </c>
      <c r="C63" s="377" t="s">
        <v>798</v>
      </c>
      <c r="D63" s="312">
        <v>60</v>
      </c>
      <c r="E63" s="469"/>
      <c r="F63" s="47"/>
      <c r="G63" s="47"/>
      <c r="H63" s="47"/>
      <c r="I63" s="47"/>
      <c r="J63" s="47">
        <v>96.3</v>
      </c>
      <c r="K63" s="47"/>
      <c r="L63" s="47"/>
      <c r="M63" s="339"/>
      <c r="N63" s="47"/>
      <c r="O63" s="47">
        <v>96.3</v>
      </c>
      <c r="P63" s="47"/>
      <c r="Q63" s="47">
        <f>AVERAGE(E63:P63)</f>
        <v>96.3</v>
      </c>
      <c r="R63" s="315" t="str">
        <f>IF(Q63&lt;5,"SI","NO")</f>
        <v>NO</v>
      </c>
      <c r="S63" s="670" t="str">
        <f>IF(Q63&lt;5,"Sin Riesgo",IF(Q63 &lt;=14,"Bajo",IF(Q63&lt;=35,"Medio",IF(Q63&lt;=80,"Alto","Inviable Sanitariamente"))))</f>
        <v>Inviable Sanitariamente</v>
      </c>
      <c r="T63" s="1"/>
    </row>
    <row r="64" spans="1:20" ht="32.1" customHeight="1">
      <c r="A64" s="562" t="s">
        <v>196</v>
      </c>
      <c r="B64" s="562" t="s">
        <v>4453</v>
      </c>
      <c r="C64" s="668" t="s">
        <v>4028</v>
      </c>
      <c r="D64" s="365">
        <v>38</v>
      </c>
      <c r="E64" s="366"/>
      <c r="F64" s="366"/>
      <c r="G64" s="366"/>
      <c r="H64" s="366"/>
      <c r="I64" s="366"/>
      <c r="J64" s="366"/>
      <c r="K64" s="366"/>
      <c r="L64" s="366">
        <v>97.3</v>
      </c>
      <c r="M64" s="366"/>
      <c r="N64" s="366"/>
      <c r="O64" s="366"/>
      <c r="P64" s="366"/>
      <c r="Q64" s="366">
        <f t="shared" si="5"/>
        <v>97.3</v>
      </c>
      <c r="R64" s="369" t="str">
        <f t="shared" si="6"/>
        <v>NO</v>
      </c>
      <c r="S64" s="673" t="str">
        <f t="shared" si="2"/>
        <v>Inviable Sanitariamente</v>
      </c>
      <c r="T64" s="1"/>
    </row>
    <row r="65" spans="1:20" ht="32.1" customHeight="1">
      <c r="A65" s="564" t="s">
        <v>7</v>
      </c>
      <c r="B65" s="566" t="s">
        <v>8</v>
      </c>
      <c r="C65" s="566" t="s">
        <v>799</v>
      </c>
      <c r="D65" s="346">
        <v>38</v>
      </c>
      <c r="E65" s="47"/>
      <c r="F65" s="47"/>
      <c r="G65" s="47"/>
      <c r="H65" s="47"/>
      <c r="I65" s="47">
        <v>96.39</v>
      </c>
      <c r="J65" s="47"/>
      <c r="K65" s="47"/>
      <c r="L65" s="47"/>
      <c r="M65" s="47"/>
      <c r="N65" s="47"/>
      <c r="O65" s="47"/>
      <c r="P65" s="47">
        <v>84.21</v>
      </c>
      <c r="Q65" s="47">
        <f t="shared" si="5"/>
        <v>90.3</v>
      </c>
      <c r="R65" s="315" t="str">
        <f t="shared" si="6"/>
        <v>NO</v>
      </c>
      <c r="S65" s="316" t="str">
        <f t="shared" si="2"/>
        <v>Inviable Sanitariamente</v>
      </c>
      <c r="T65" s="1"/>
    </row>
    <row r="66" spans="1:20" ht="32.1" customHeight="1">
      <c r="A66" s="564" t="s">
        <v>7</v>
      </c>
      <c r="B66" s="566" t="s">
        <v>800</v>
      </c>
      <c r="C66" s="566" t="s">
        <v>801</v>
      </c>
      <c r="D66" s="346">
        <v>26</v>
      </c>
      <c r="E66" s="47"/>
      <c r="F66" s="47"/>
      <c r="G66" s="47"/>
      <c r="H66" s="47"/>
      <c r="I66" s="47">
        <v>96.39</v>
      </c>
      <c r="J66" s="47"/>
      <c r="K66" s="47"/>
      <c r="L66" s="47"/>
      <c r="M66" s="47"/>
      <c r="N66" s="47"/>
      <c r="O66" s="47"/>
      <c r="P66" s="47">
        <v>84.21</v>
      </c>
      <c r="Q66" s="47">
        <f t="shared" si="5"/>
        <v>90.3</v>
      </c>
      <c r="R66" s="315" t="str">
        <f t="shared" si="6"/>
        <v>NO</v>
      </c>
      <c r="S66" s="316" t="str">
        <f t="shared" si="2"/>
        <v>Inviable Sanitariamente</v>
      </c>
      <c r="T66" s="1"/>
    </row>
    <row r="67" spans="1:20" ht="32.1" customHeight="1">
      <c r="A67" s="564" t="s">
        <v>7</v>
      </c>
      <c r="B67" s="566" t="s">
        <v>802</v>
      </c>
      <c r="C67" s="566" t="s">
        <v>803</v>
      </c>
      <c r="D67" s="346">
        <v>20</v>
      </c>
      <c r="E67" s="47"/>
      <c r="F67" s="47"/>
      <c r="G67" s="47"/>
      <c r="H67" s="47">
        <v>97.9</v>
      </c>
      <c r="I67" s="47"/>
      <c r="J67" s="47"/>
      <c r="K67" s="47"/>
      <c r="L67" s="47"/>
      <c r="M67" s="47"/>
      <c r="N67" s="47"/>
      <c r="O67" s="47"/>
      <c r="P67" s="47"/>
      <c r="Q67" s="47">
        <f t="shared" si="5"/>
        <v>97.9</v>
      </c>
      <c r="R67" s="315" t="str">
        <f t="shared" si="6"/>
        <v>NO</v>
      </c>
      <c r="S67" s="316" t="str">
        <f t="shared" si="2"/>
        <v>Inviable Sanitariamente</v>
      </c>
      <c r="T67" s="1"/>
    </row>
    <row r="68" spans="1:20" ht="32.1" customHeight="1">
      <c r="A68" s="564" t="s">
        <v>7</v>
      </c>
      <c r="B68" s="568" t="s">
        <v>804</v>
      </c>
      <c r="C68" s="566" t="s">
        <v>4449</v>
      </c>
      <c r="D68" s="304">
        <v>65</v>
      </c>
      <c r="E68" s="47"/>
      <c r="F68" s="47"/>
      <c r="G68" s="47"/>
      <c r="H68" s="47"/>
      <c r="I68" s="47"/>
      <c r="J68" s="47"/>
      <c r="K68" s="47"/>
      <c r="L68" s="47">
        <v>97</v>
      </c>
      <c r="M68" s="47"/>
      <c r="N68" s="47"/>
      <c r="O68" s="47"/>
      <c r="P68" s="47"/>
      <c r="Q68" s="47">
        <f t="shared" si="5"/>
        <v>97</v>
      </c>
      <c r="R68" s="315" t="str">
        <f t="shared" si="6"/>
        <v>NO</v>
      </c>
      <c r="S68" s="316" t="str">
        <f t="shared" si="2"/>
        <v>Inviable Sanitariamente</v>
      </c>
      <c r="T68" s="1"/>
    </row>
    <row r="69" spans="1:20" s="199" customFormat="1" ht="32.1" customHeight="1">
      <c r="A69" s="562" t="s">
        <v>7</v>
      </c>
      <c r="B69" s="566" t="s">
        <v>4475</v>
      </c>
      <c r="C69" s="566" t="s">
        <v>4454</v>
      </c>
      <c r="D69" s="304">
        <v>19</v>
      </c>
      <c r="E69" s="47"/>
      <c r="F69" s="47"/>
      <c r="G69" s="47"/>
      <c r="H69" s="47"/>
      <c r="I69" s="47"/>
      <c r="J69" s="47"/>
      <c r="K69" s="47"/>
      <c r="L69" s="47">
        <v>97</v>
      </c>
      <c r="M69" s="47"/>
      <c r="N69" s="47"/>
      <c r="O69" s="47"/>
      <c r="P69" s="47"/>
      <c r="Q69" s="47"/>
      <c r="R69" s="315"/>
      <c r="S69" s="316"/>
      <c r="T69" s="1"/>
    </row>
    <row r="70" spans="1:20" ht="32.1" customHeight="1">
      <c r="A70" s="404" t="s">
        <v>7</v>
      </c>
      <c r="B70" s="324" t="s">
        <v>805</v>
      </c>
      <c r="C70" s="324" t="s">
        <v>806</v>
      </c>
      <c r="D70" s="346">
        <v>820</v>
      </c>
      <c r="E70" s="47"/>
      <c r="F70" s="47">
        <v>98</v>
      </c>
      <c r="G70" s="47"/>
      <c r="H70" s="47"/>
      <c r="I70" s="47"/>
      <c r="J70" s="47"/>
      <c r="K70" s="47"/>
      <c r="L70" s="47"/>
      <c r="M70" s="47"/>
      <c r="N70" s="47"/>
      <c r="O70" s="47">
        <v>97.9</v>
      </c>
      <c r="P70" s="47"/>
      <c r="Q70" s="47">
        <f t="shared" si="5"/>
        <v>97.95</v>
      </c>
      <c r="R70" s="315" t="str">
        <f t="shared" si="6"/>
        <v>NO</v>
      </c>
      <c r="S70" s="316" t="str">
        <f t="shared" si="2"/>
        <v>Inviable Sanitariamente</v>
      </c>
      <c r="T70" s="1"/>
    </row>
    <row r="71" spans="1:20" ht="32.1" customHeight="1">
      <c r="A71" s="404" t="s">
        <v>7</v>
      </c>
      <c r="B71" s="324" t="s">
        <v>807</v>
      </c>
      <c r="C71" s="324" t="s">
        <v>808</v>
      </c>
      <c r="D71" s="346">
        <v>56</v>
      </c>
      <c r="E71" s="47"/>
      <c r="F71" s="47"/>
      <c r="G71" s="47">
        <v>96.39</v>
      </c>
      <c r="H71" s="47"/>
      <c r="I71" s="47"/>
      <c r="J71" s="47"/>
      <c r="K71" s="47"/>
      <c r="L71" s="47"/>
      <c r="M71" s="47"/>
      <c r="N71" s="47"/>
      <c r="O71" s="47"/>
      <c r="P71" s="47">
        <v>84.21</v>
      </c>
      <c r="Q71" s="47">
        <f t="shared" si="5"/>
        <v>90.3</v>
      </c>
      <c r="R71" s="315" t="str">
        <f t="shared" si="6"/>
        <v>NO</v>
      </c>
      <c r="S71" s="316" t="str">
        <f t="shared" si="2"/>
        <v>Inviable Sanitariamente</v>
      </c>
      <c r="T71" s="1"/>
    </row>
    <row r="72" spans="1:20" ht="32.1" customHeight="1">
      <c r="A72" s="404" t="s">
        <v>7</v>
      </c>
      <c r="B72" s="324" t="s">
        <v>809</v>
      </c>
      <c r="C72" s="324" t="s">
        <v>810</v>
      </c>
      <c r="D72" s="346">
        <v>88</v>
      </c>
      <c r="E72" s="47"/>
      <c r="F72" s="47"/>
      <c r="G72" s="47"/>
      <c r="H72" s="47">
        <v>97.9</v>
      </c>
      <c r="I72" s="47"/>
      <c r="J72" s="47"/>
      <c r="K72" s="47"/>
      <c r="L72" s="47"/>
      <c r="M72" s="47"/>
      <c r="N72" s="47"/>
      <c r="O72" s="47"/>
      <c r="P72" s="47"/>
      <c r="Q72" s="47">
        <f t="shared" si="5"/>
        <v>97.9</v>
      </c>
      <c r="R72" s="315" t="str">
        <f t="shared" si="6"/>
        <v>NO</v>
      </c>
      <c r="S72" s="316" t="str">
        <f t="shared" si="2"/>
        <v>Inviable Sanitariamente</v>
      </c>
      <c r="T72" s="2"/>
    </row>
    <row r="73" spans="1:20" ht="32.1" customHeight="1">
      <c r="A73" s="404" t="s">
        <v>7</v>
      </c>
      <c r="B73" s="324" t="s">
        <v>811</v>
      </c>
      <c r="C73" s="324" t="s">
        <v>812</v>
      </c>
      <c r="D73" s="346">
        <v>32</v>
      </c>
      <c r="E73" s="47"/>
      <c r="F73" s="47"/>
      <c r="G73" s="47"/>
      <c r="H73" s="47"/>
      <c r="I73" s="47">
        <v>98.7</v>
      </c>
      <c r="J73" s="47"/>
      <c r="K73" s="47"/>
      <c r="L73" s="47"/>
      <c r="M73" s="47"/>
      <c r="N73" s="47"/>
      <c r="O73" s="47"/>
      <c r="P73" s="47"/>
      <c r="Q73" s="47">
        <f t="shared" si="5"/>
        <v>98.7</v>
      </c>
      <c r="R73" s="315" t="str">
        <f t="shared" si="6"/>
        <v>NO</v>
      </c>
      <c r="S73" s="316" t="str">
        <f t="shared" si="2"/>
        <v>Inviable Sanitariamente</v>
      </c>
      <c r="T73" s="2"/>
    </row>
    <row r="74" spans="1:20" ht="32.1" customHeight="1">
      <c r="A74" s="404" t="s">
        <v>7</v>
      </c>
      <c r="B74" s="324" t="s">
        <v>813</v>
      </c>
      <c r="C74" s="324" t="s">
        <v>814</v>
      </c>
      <c r="D74" s="399">
        <v>25</v>
      </c>
      <c r="E74" s="47"/>
      <c r="F74" s="47"/>
      <c r="G74" s="47"/>
      <c r="H74" s="47"/>
      <c r="I74" s="47">
        <v>76.92</v>
      </c>
      <c r="J74" s="47"/>
      <c r="K74" s="47"/>
      <c r="L74" s="47"/>
      <c r="M74" s="47"/>
      <c r="N74" s="47"/>
      <c r="O74" s="47"/>
      <c r="P74" s="47"/>
      <c r="Q74" s="47">
        <f t="shared" si="5"/>
        <v>76.92</v>
      </c>
      <c r="R74" s="315" t="str">
        <f t="shared" si="6"/>
        <v>NO</v>
      </c>
      <c r="S74" s="316" t="str">
        <f t="shared" si="2"/>
        <v>Alto</v>
      </c>
      <c r="T74" s="2"/>
    </row>
    <row r="75" spans="1:20" ht="32.1" customHeight="1">
      <c r="A75" s="404" t="s">
        <v>7</v>
      </c>
      <c r="B75" s="324" t="s">
        <v>815</v>
      </c>
      <c r="C75" s="324" t="s">
        <v>816</v>
      </c>
      <c r="D75" s="346">
        <v>238</v>
      </c>
      <c r="E75" s="47"/>
      <c r="F75" s="47">
        <v>0</v>
      </c>
      <c r="G75" s="47"/>
      <c r="H75" s="47">
        <v>0</v>
      </c>
      <c r="I75" s="47">
        <v>0</v>
      </c>
      <c r="J75" s="47"/>
      <c r="K75" s="47"/>
      <c r="L75" s="47"/>
      <c r="M75" s="47">
        <v>0</v>
      </c>
      <c r="N75" s="47"/>
      <c r="O75" s="47">
        <v>0</v>
      </c>
      <c r="P75" s="47">
        <v>0</v>
      </c>
      <c r="Q75" s="47">
        <f t="shared" si="5"/>
        <v>0</v>
      </c>
      <c r="R75" s="315" t="str">
        <f t="shared" si="6"/>
        <v>SI</v>
      </c>
      <c r="S75" s="316" t="str">
        <f t="shared" si="2"/>
        <v>Sin Riesgo</v>
      </c>
      <c r="T75" s="2"/>
    </row>
    <row r="76" spans="1:20" ht="32.1" customHeight="1">
      <c r="A76" s="404" t="s">
        <v>7</v>
      </c>
      <c r="B76" s="324" t="s">
        <v>817</v>
      </c>
      <c r="C76" s="324" t="s">
        <v>818</v>
      </c>
      <c r="D76" s="346">
        <v>236</v>
      </c>
      <c r="E76" s="47"/>
      <c r="F76" s="47">
        <v>0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>
        <f t="shared" si="5"/>
        <v>0</v>
      </c>
      <c r="R76" s="315" t="str">
        <f t="shared" si="6"/>
        <v>SI</v>
      </c>
      <c r="S76" s="316" t="str">
        <f t="shared" si="2"/>
        <v>Sin Riesgo</v>
      </c>
      <c r="T76" s="2"/>
    </row>
    <row r="77" spans="1:20" ht="32.1" customHeight="1">
      <c r="A77" s="404" t="s">
        <v>7</v>
      </c>
      <c r="B77" s="324" t="s">
        <v>10</v>
      </c>
      <c r="C77" s="324" t="s">
        <v>819</v>
      </c>
      <c r="D77" s="346">
        <v>192</v>
      </c>
      <c r="E77" s="47"/>
      <c r="F77" s="47">
        <v>97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>
        <f t="shared" si="5"/>
        <v>97</v>
      </c>
      <c r="R77" s="315" t="str">
        <f t="shared" si="6"/>
        <v>NO</v>
      </c>
      <c r="S77" s="316" t="str">
        <f t="shared" ref="S77:S126" si="7">IF(Q77&lt;5,"Sin Riesgo",IF(Q77 &lt;=14,"Bajo",IF(Q77&lt;=35,"Medio",IF(Q77&lt;=80,"Alto","Inviable Sanitariamente"))))</f>
        <v>Inviable Sanitariamente</v>
      </c>
      <c r="T77" s="2"/>
    </row>
    <row r="78" spans="1:20" ht="32.1" customHeight="1">
      <c r="A78" s="404" t="s">
        <v>7</v>
      </c>
      <c r="B78" s="324" t="s">
        <v>820</v>
      </c>
      <c r="C78" s="324" t="s">
        <v>821</v>
      </c>
      <c r="D78" s="346">
        <v>37</v>
      </c>
      <c r="E78" s="47"/>
      <c r="F78" s="47"/>
      <c r="G78" s="47"/>
      <c r="H78" s="47"/>
      <c r="I78" s="47"/>
      <c r="J78" s="47">
        <v>97.9</v>
      </c>
      <c r="K78" s="47"/>
      <c r="L78" s="47"/>
      <c r="M78" s="47"/>
      <c r="N78" s="47"/>
      <c r="O78" s="47"/>
      <c r="P78" s="47"/>
      <c r="Q78" s="47">
        <f t="shared" si="5"/>
        <v>97.9</v>
      </c>
      <c r="R78" s="315" t="str">
        <f t="shared" si="6"/>
        <v>NO</v>
      </c>
      <c r="S78" s="316" t="str">
        <f t="shared" si="7"/>
        <v>Inviable Sanitariamente</v>
      </c>
      <c r="T78" s="2"/>
    </row>
    <row r="79" spans="1:20" ht="32.1" customHeight="1">
      <c r="A79" s="404" t="s">
        <v>7</v>
      </c>
      <c r="B79" s="362" t="s">
        <v>822</v>
      </c>
      <c r="C79" s="362" t="s">
        <v>823</v>
      </c>
      <c r="D79" s="346">
        <v>48</v>
      </c>
      <c r="E79" s="47"/>
      <c r="F79" s="47"/>
      <c r="G79" s="47"/>
      <c r="H79" s="47"/>
      <c r="I79" s="47"/>
      <c r="J79" s="47">
        <v>97.9</v>
      </c>
      <c r="K79" s="47"/>
      <c r="L79" s="47"/>
      <c r="M79" s="47"/>
      <c r="N79" s="47"/>
      <c r="O79" s="47"/>
      <c r="P79" s="47"/>
      <c r="Q79" s="47">
        <f t="shared" si="5"/>
        <v>97.9</v>
      </c>
      <c r="R79" s="315" t="str">
        <f t="shared" si="6"/>
        <v>NO</v>
      </c>
      <c r="S79" s="316" t="str">
        <f t="shared" si="7"/>
        <v>Inviable Sanitariamente</v>
      </c>
      <c r="T79" s="2"/>
    </row>
    <row r="80" spans="1:20" ht="32.1" customHeight="1">
      <c r="A80" s="404" t="s">
        <v>7</v>
      </c>
      <c r="B80" s="324" t="s">
        <v>824</v>
      </c>
      <c r="C80" s="324" t="s">
        <v>825</v>
      </c>
      <c r="D80" s="399">
        <v>7</v>
      </c>
      <c r="E80" s="47"/>
      <c r="F80" s="47"/>
      <c r="G80" s="47"/>
      <c r="H80" s="47">
        <v>97.9</v>
      </c>
      <c r="I80" s="47"/>
      <c r="J80" s="47"/>
      <c r="K80" s="47"/>
      <c r="L80" s="47"/>
      <c r="M80" s="47"/>
      <c r="N80" s="47"/>
      <c r="O80" s="47"/>
      <c r="P80" s="47"/>
      <c r="Q80" s="47">
        <f t="shared" si="5"/>
        <v>97.9</v>
      </c>
      <c r="R80" s="315" t="str">
        <f t="shared" si="6"/>
        <v>NO</v>
      </c>
      <c r="S80" s="316" t="str">
        <f t="shared" si="7"/>
        <v>Inviable Sanitariamente</v>
      </c>
      <c r="T80" s="2"/>
    </row>
    <row r="81" spans="1:20" ht="32.1" customHeight="1">
      <c r="A81" s="404" t="s">
        <v>7</v>
      </c>
      <c r="B81" s="444" t="s">
        <v>826</v>
      </c>
      <c r="C81" s="324" t="s">
        <v>827</v>
      </c>
      <c r="D81" s="346">
        <v>1380</v>
      </c>
      <c r="E81" s="47"/>
      <c r="F81" s="47">
        <v>0</v>
      </c>
      <c r="G81" s="47">
        <v>0</v>
      </c>
      <c r="H81" s="47"/>
      <c r="I81" s="47"/>
      <c r="J81" s="47"/>
      <c r="K81" s="47">
        <v>0</v>
      </c>
      <c r="L81" s="47"/>
      <c r="M81" s="47"/>
      <c r="N81" s="47">
        <v>0</v>
      </c>
      <c r="O81" s="47"/>
      <c r="P81" s="47"/>
      <c r="Q81" s="47">
        <f t="shared" si="5"/>
        <v>0</v>
      </c>
      <c r="R81" s="315" t="str">
        <f t="shared" si="6"/>
        <v>SI</v>
      </c>
      <c r="S81" s="316" t="str">
        <f t="shared" si="7"/>
        <v>Sin Riesgo</v>
      </c>
      <c r="T81" s="2"/>
    </row>
    <row r="82" spans="1:20" ht="32.1" customHeight="1">
      <c r="A82" s="404" t="s">
        <v>7</v>
      </c>
      <c r="B82" s="324" t="s">
        <v>828</v>
      </c>
      <c r="C82" s="324" t="s">
        <v>829</v>
      </c>
      <c r="D82" s="346">
        <v>760</v>
      </c>
      <c r="E82" s="47"/>
      <c r="F82" s="47">
        <v>0</v>
      </c>
      <c r="G82" s="47">
        <v>0</v>
      </c>
      <c r="H82" s="47"/>
      <c r="I82" s="47"/>
      <c r="J82" s="47"/>
      <c r="K82" s="47"/>
      <c r="L82" s="47"/>
      <c r="M82" s="47"/>
      <c r="N82" s="47"/>
      <c r="O82" s="47"/>
      <c r="P82" s="47"/>
      <c r="Q82" s="47">
        <f t="shared" si="5"/>
        <v>0</v>
      </c>
      <c r="R82" s="315" t="str">
        <f t="shared" si="6"/>
        <v>SI</v>
      </c>
      <c r="S82" s="316" t="str">
        <f t="shared" si="7"/>
        <v>Sin Riesgo</v>
      </c>
      <c r="T82" s="2"/>
    </row>
    <row r="83" spans="1:20" ht="32.1" customHeight="1">
      <c r="A83" s="404" t="s">
        <v>197</v>
      </c>
      <c r="B83" s="301" t="s">
        <v>830</v>
      </c>
      <c r="C83" s="324" t="s">
        <v>831</v>
      </c>
      <c r="D83" s="399">
        <v>480</v>
      </c>
      <c r="E83" s="47"/>
      <c r="F83" s="47"/>
      <c r="G83" s="47">
        <v>96.3</v>
      </c>
      <c r="H83" s="47"/>
      <c r="I83" s="47"/>
      <c r="J83" s="47">
        <v>96.3</v>
      </c>
      <c r="K83" s="47"/>
      <c r="L83" s="47"/>
      <c r="M83" s="343" t="s">
        <v>4407</v>
      </c>
      <c r="N83" s="47"/>
      <c r="O83" s="343" t="s">
        <v>4407</v>
      </c>
      <c r="P83" s="47"/>
      <c r="Q83" s="47">
        <f t="shared" si="5"/>
        <v>96.3</v>
      </c>
      <c r="R83" s="315" t="str">
        <f t="shared" si="6"/>
        <v>NO</v>
      </c>
      <c r="S83" s="316" t="str">
        <f t="shared" si="7"/>
        <v>Inviable Sanitariamente</v>
      </c>
      <c r="T83" s="2"/>
    </row>
    <row r="84" spans="1:20" ht="32.1" customHeight="1">
      <c r="A84" s="404" t="s">
        <v>197</v>
      </c>
      <c r="B84" s="324" t="s">
        <v>832</v>
      </c>
      <c r="C84" s="324" t="s">
        <v>833</v>
      </c>
      <c r="D84" s="399">
        <v>88</v>
      </c>
      <c r="E84" s="47"/>
      <c r="F84" s="47">
        <v>96.3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>
        <f t="shared" si="5"/>
        <v>96.3</v>
      </c>
      <c r="R84" s="315" t="str">
        <f t="shared" si="6"/>
        <v>NO</v>
      </c>
      <c r="S84" s="316" t="str">
        <f t="shared" si="7"/>
        <v>Inviable Sanitariamente</v>
      </c>
      <c r="T84" s="2"/>
    </row>
    <row r="85" spans="1:20" ht="32.1" customHeight="1">
      <c r="A85" s="404" t="s">
        <v>197</v>
      </c>
      <c r="B85" s="324" t="s">
        <v>834</v>
      </c>
      <c r="C85" s="324" t="s">
        <v>835</v>
      </c>
      <c r="D85" s="399">
        <v>140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343">
        <v>96.3</v>
      </c>
      <c r="Q85" s="47">
        <f t="shared" si="5"/>
        <v>96.3</v>
      </c>
      <c r="R85" s="315" t="str">
        <f t="shared" si="6"/>
        <v>NO</v>
      </c>
      <c r="S85" s="316" t="str">
        <f t="shared" si="7"/>
        <v>Inviable Sanitariamente</v>
      </c>
      <c r="T85" s="2"/>
    </row>
    <row r="86" spans="1:20" ht="32.1" customHeight="1">
      <c r="A86" s="562" t="s">
        <v>197</v>
      </c>
      <c r="B86" s="566" t="s">
        <v>836</v>
      </c>
      <c r="C86" s="566" t="s">
        <v>837</v>
      </c>
      <c r="D86" s="304">
        <v>2500</v>
      </c>
      <c r="E86" s="47">
        <v>0</v>
      </c>
      <c r="F86" s="47">
        <v>0</v>
      </c>
      <c r="G86" s="47">
        <v>0</v>
      </c>
      <c r="H86" s="47">
        <v>32.4</v>
      </c>
      <c r="I86" s="47">
        <v>0.88</v>
      </c>
      <c r="J86" s="47">
        <v>1.24</v>
      </c>
      <c r="K86" s="47"/>
      <c r="L86" s="47"/>
      <c r="M86" s="47"/>
      <c r="N86" s="47">
        <v>0</v>
      </c>
      <c r="O86" s="47">
        <v>0</v>
      </c>
      <c r="P86" s="47"/>
      <c r="Q86" s="47">
        <f t="shared" si="5"/>
        <v>4.3150000000000004</v>
      </c>
      <c r="R86" s="315" t="str">
        <f t="shared" si="6"/>
        <v>SI</v>
      </c>
      <c r="S86" s="316" t="str">
        <f t="shared" si="7"/>
        <v>Sin Riesgo</v>
      </c>
      <c r="T86" s="2"/>
    </row>
    <row r="87" spans="1:20" ht="32.1" customHeight="1">
      <c r="A87" s="564" t="s">
        <v>197</v>
      </c>
      <c r="B87" s="566" t="s">
        <v>838</v>
      </c>
      <c r="C87" s="566" t="s">
        <v>839</v>
      </c>
      <c r="D87" s="399">
        <v>35</v>
      </c>
      <c r="E87" s="47"/>
      <c r="F87" s="47"/>
      <c r="G87" s="47">
        <v>96.3</v>
      </c>
      <c r="H87" s="47"/>
      <c r="I87" s="47"/>
      <c r="J87" s="47"/>
      <c r="K87" s="47"/>
      <c r="L87" s="47"/>
      <c r="M87" s="47"/>
      <c r="N87" s="343"/>
      <c r="O87" s="47"/>
      <c r="P87" s="47"/>
      <c r="Q87" s="47">
        <f t="shared" si="5"/>
        <v>96.3</v>
      </c>
      <c r="R87" s="315" t="str">
        <f t="shared" si="6"/>
        <v>NO</v>
      </c>
      <c r="S87" s="316" t="str">
        <f t="shared" si="7"/>
        <v>Inviable Sanitariamente</v>
      </c>
      <c r="T87" s="2"/>
    </row>
    <row r="88" spans="1:20" ht="32.1" customHeight="1">
      <c r="A88" s="564" t="s">
        <v>197</v>
      </c>
      <c r="B88" s="566" t="s">
        <v>840</v>
      </c>
      <c r="C88" s="566" t="s">
        <v>841</v>
      </c>
      <c r="D88" s="399">
        <v>40</v>
      </c>
      <c r="E88" s="47"/>
      <c r="F88" s="47"/>
      <c r="G88" s="47"/>
      <c r="H88" s="47"/>
      <c r="I88" s="47"/>
      <c r="J88" s="47"/>
      <c r="K88" s="47"/>
      <c r="L88" s="47"/>
      <c r="M88" s="47"/>
      <c r="N88" s="343">
        <v>96.3</v>
      </c>
      <c r="O88" s="47"/>
      <c r="P88" s="47"/>
      <c r="Q88" s="47">
        <f t="shared" si="5"/>
        <v>96.3</v>
      </c>
      <c r="R88" s="315" t="str">
        <f t="shared" si="6"/>
        <v>NO</v>
      </c>
      <c r="S88" s="316" t="str">
        <f t="shared" si="7"/>
        <v>Inviable Sanitariamente</v>
      </c>
      <c r="T88" s="2"/>
    </row>
    <row r="89" spans="1:20" ht="32.1" customHeight="1">
      <c r="A89" s="564" t="s">
        <v>197</v>
      </c>
      <c r="B89" s="566" t="s">
        <v>842</v>
      </c>
      <c r="C89" s="566" t="s">
        <v>843</v>
      </c>
      <c r="D89" s="399">
        <v>133</v>
      </c>
      <c r="E89" s="47"/>
      <c r="F89" s="47"/>
      <c r="G89" s="47"/>
      <c r="H89" s="47"/>
      <c r="I89" s="47"/>
      <c r="J89" s="47"/>
      <c r="K89" s="47"/>
      <c r="L89" s="47"/>
      <c r="M89" s="47"/>
      <c r="N89" s="343">
        <v>96.3</v>
      </c>
      <c r="O89" s="47"/>
      <c r="P89" s="47"/>
      <c r="Q89" s="47">
        <f t="shared" si="5"/>
        <v>96.3</v>
      </c>
      <c r="R89" s="315" t="str">
        <f t="shared" si="6"/>
        <v>NO</v>
      </c>
      <c r="S89" s="316" t="str">
        <f t="shared" si="7"/>
        <v>Inviable Sanitariamente</v>
      </c>
      <c r="T89" s="2"/>
    </row>
    <row r="90" spans="1:20" ht="32.1" customHeight="1">
      <c r="A90" s="562" t="s">
        <v>197</v>
      </c>
      <c r="B90" s="566" t="s">
        <v>4472</v>
      </c>
      <c r="C90" s="566" t="s">
        <v>4473</v>
      </c>
      <c r="D90" s="304">
        <v>480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315"/>
      <c r="S90" s="316"/>
      <c r="T90" s="2"/>
    </row>
    <row r="91" spans="1:20" ht="32.1" customHeight="1">
      <c r="A91" s="564" t="s">
        <v>197</v>
      </c>
      <c r="B91" s="566" t="s">
        <v>555</v>
      </c>
      <c r="C91" s="665" t="s">
        <v>844</v>
      </c>
      <c r="D91" s="399">
        <v>115</v>
      </c>
      <c r="E91" s="47"/>
      <c r="F91" s="47"/>
      <c r="G91" s="47"/>
      <c r="H91" s="47"/>
      <c r="I91" s="47"/>
      <c r="J91" s="47">
        <v>0</v>
      </c>
      <c r="K91" s="47"/>
      <c r="L91" s="47"/>
      <c r="M91" s="47"/>
      <c r="N91" s="47">
        <v>0</v>
      </c>
      <c r="O91" s="47"/>
      <c r="P91" s="47"/>
      <c r="Q91" s="47">
        <f t="shared" si="5"/>
        <v>0</v>
      </c>
      <c r="R91" s="315" t="str">
        <f t="shared" si="6"/>
        <v>SI</v>
      </c>
      <c r="S91" s="316" t="str">
        <f t="shared" si="7"/>
        <v>Sin Riesgo</v>
      </c>
      <c r="T91" s="2"/>
    </row>
    <row r="92" spans="1:20" ht="32.1" customHeight="1">
      <c r="A92" s="404" t="s">
        <v>197</v>
      </c>
      <c r="B92" s="324" t="s">
        <v>845</v>
      </c>
      <c r="C92" s="362" t="s">
        <v>846</v>
      </c>
      <c r="D92" s="399">
        <v>90</v>
      </c>
      <c r="E92" s="47"/>
      <c r="F92" s="47"/>
      <c r="G92" s="47"/>
      <c r="H92" s="47"/>
      <c r="I92" s="47"/>
      <c r="J92" s="47">
        <v>96.3</v>
      </c>
      <c r="K92" s="47"/>
      <c r="L92" s="47"/>
      <c r="M92" s="47"/>
      <c r="N92" s="47"/>
      <c r="O92" s="47"/>
      <c r="P92" s="47"/>
      <c r="Q92" s="47">
        <f t="shared" si="5"/>
        <v>96.3</v>
      </c>
      <c r="R92" s="315" t="str">
        <f t="shared" si="6"/>
        <v>NO</v>
      </c>
      <c r="S92" s="316" t="str">
        <f t="shared" si="7"/>
        <v>Inviable Sanitariamente</v>
      </c>
      <c r="T92" s="2"/>
    </row>
    <row r="93" spans="1:20" ht="32.1" customHeight="1">
      <c r="A93" s="404" t="s">
        <v>197</v>
      </c>
      <c r="B93" s="324" t="s">
        <v>847</v>
      </c>
      <c r="C93" s="362" t="s">
        <v>848</v>
      </c>
      <c r="D93" s="399">
        <v>60</v>
      </c>
      <c r="E93" s="47"/>
      <c r="F93" s="47"/>
      <c r="G93" s="47"/>
      <c r="H93" s="47"/>
      <c r="I93" s="47"/>
      <c r="J93" s="47">
        <v>96.3</v>
      </c>
      <c r="K93" s="47"/>
      <c r="L93" s="47"/>
      <c r="M93" s="47"/>
      <c r="N93" s="524"/>
      <c r="O93" s="47"/>
      <c r="P93" s="47"/>
      <c r="Q93" s="47">
        <f t="shared" si="5"/>
        <v>96.3</v>
      </c>
      <c r="R93" s="315" t="str">
        <f t="shared" si="6"/>
        <v>NO</v>
      </c>
      <c r="S93" s="316" t="str">
        <f t="shared" si="7"/>
        <v>Inviable Sanitariamente</v>
      </c>
      <c r="T93" s="2"/>
    </row>
    <row r="94" spans="1:20" ht="32.1" customHeight="1">
      <c r="A94" s="404" t="s">
        <v>197</v>
      </c>
      <c r="B94" s="301" t="s">
        <v>4029</v>
      </c>
      <c r="C94" s="340" t="s">
        <v>4030</v>
      </c>
      <c r="D94" s="399">
        <v>120</v>
      </c>
      <c r="E94" s="47"/>
      <c r="F94" s="47">
        <v>96.3</v>
      </c>
      <c r="G94" s="47"/>
      <c r="H94" s="47"/>
      <c r="I94" s="47"/>
      <c r="J94" s="47"/>
      <c r="K94" s="47"/>
      <c r="L94" s="47"/>
      <c r="M94" s="525"/>
      <c r="N94" s="47"/>
      <c r="O94" s="47"/>
      <c r="P94" s="47"/>
      <c r="Q94" s="47">
        <f t="shared" si="5"/>
        <v>96.3</v>
      </c>
      <c r="R94" s="315" t="str">
        <f t="shared" si="6"/>
        <v>NO</v>
      </c>
      <c r="S94" s="316" t="str">
        <f t="shared" si="7"/>
        <v>Inviable Sanitariamente</v>
      </c>
      <c r="T94" s="2"/>
    </row>
    <row r="95" spans="1:20" s="12" customFormat="1" ht="32.1" customHeight="1">
      <c r="A95" s="404" t="s">
        <v>3774</v>
      </c>
      <c r="B95" s="324" t="s">
        <v>849</v>
      </c>
      <c r="C95" s="324" t="s">
        <v>850</v>
      </c>
      <c r="D95" s="346">
        <v>79</v>
      </c>
      <c r="E95" s="47"/>
      <c r="F95" s="47"/>
      <c r="G95" s="47"/>
      <c r="H95" s="47"/>
      <c r="I95" s="47"/>
      <c r="J95" s="47">
        <v>87.5</v>
      </c>
      <c r="K95" s="47"/>
      <c r="L95" s="47"/>
      <c r="M95" s="47"/>
      <c r="N95" s="47"/>
      <c r="O95" s="47"/>
      <c r="P95" s="47"/>
      <c r="Q95" s="47">
        <f t="shared" ref="Q95:Q126" si="8">AVERAGE(E95:P95)</f>
        <v>87.5</v>
      </c>
      <c r="R95" s="315" t="str">
        <f t="shared" ref="R95:R126" si="9">IF(Q95&lt;5,"SI","NO")</f>
        <v>NO</v>
      </c>
      <c r="S95" s="316" t="str">
        <f t="shared" si="7"/>
        <v>Inviable Sanitariamente</v>
      </c>
      <c r="T95" s="1"/>
    </row>
    <row r="96" spans="1:20" s="12" customFormat="1" ht="32.1" customHeight="1">
      <c r="A96" s="404" t="s">
        <v>3774</v>
      </c>
      <c r="B96" s="324" t="s">
        <v>851</v>
      </c>
      <c r="C96" s="324" t="s">
        <v>852</v>
      </c>
      <c r="D96" s="346">
        <v>60</v>
      </c>
      <c r="E96" s="47"/>
      <c r="F96" s="47"/>
      <c r="G96" s="47"/>
      <c r="H96" s="47"/>
      <c r="I96" s="47"/>
      <c r="J96" s="47">
        <v>83.5</v>
      </c>
      <c r="K96" s="47"/>
      <c r="L96" s="47"/>
      <c r="M96" s="47"/>
      <c r="N96" s="47"/>
      <c r="O96" s="47"/>
      <c r="P96" s="47"/>
      <c r="Q96" s="47">
        <f t="shared" si="8"/>
        <v>83.5</v>
      </c>
      <c r="R96" s="315" t="str">
        <f t="shared" si="9"/>
        <v>NO</v>
      </c>
      <c r="S96" s="316" t="str">
        <f t="shared" si="7"/>
        <v>Inviable Sanitariamente</v>
      </c>
      <c r="T96" s="1"/>
    </row>
    <row r="97" spans="1:20" s="12" customFormat="1" ht="32.1" customHeight="1">
      <c r="A97" s="404" t="s">
        <v>3774</v>
      </c>
      <c r="B97" s="324" t="s">
        <v>853</v>
      </c>
      <c r="C97" s="324" t="s">
        <v>854</v>
      </c>
      <c r="D97" s="346">
        <v>87</v>
      </c>
      <c r="E97" s="47"/>
      <c r="F97" s="47"/>
      <c r="G97" s="47"/>
      <c r="H97" s="47"/>
      <c r="I97" s="47"/>
      <c r="J97" s="47">
        <v>92.35</v>
      </c>
      <c r="K97" s="47"/>
      <c r="L97" s="47"/>
      <c r="M97" s="47"/>
      <c r="N97" s="47"/>
      <c r="O97" s="47"/>
      <c r="P97" s="47"/>
      <c r="Q97" s="47">
        <f t="shared" si="8"/>
        <v>92.35</v>
      </c>
      <c r="R97" s="315" t="str">
        <f t="shared" si="9"/>
        <v>NO</v>
      </c>
      <c r="S97" s="316" t="str">
        <f t="shared" si="7"/>
        <v>Inviable Sanitariamente</v>
      </c>
      <c r="T97" s="1"/>
    </row>
    <row r="98" spans="1:20" s="12" customFormat="1" ht="32.1" customHeight="1">
      <c r="A98" s="472" t="s">
        <v>3774</v>
      </c>
      <c r="B98" s="473" t="s">
        <v>855</v>
      </c>
      <c r="C98" s="473" t="s">
        <v>856</v>
      </c>
      <c r="D98" s="346">
        <v>377</v>
      </c>
      <c r="E98" s="47"/>
      <c r="F98" s="47"/>
      <c r="G98" s="47"/>
      <c r="H98" s="47">
        <v>0</v>
      </c>
      <c r="I98" s="47"/>
      <c r="J98" s="47"/>
      <c r="K98" s="47"/>
      <c r="L98" s="47"/>
      <c r="M98" s="47"/>
      <c r="N98" s="47"/>
      <c r="O98" s="47"/>
      <c r="P98" s="47">
        <v>0</v>
      </c>
      <c r="Q98" s="47">
        <f t="shared" si="8"/>
        <v>0</v>
      </c>
      <c r="R98" s="315" t="str">
        <f t="shared" si="9"/>
        <v>SI</v>
      </c>
      <c r="S98" s="316" t="str">
        <f t="shared" si="7"/>
        <v>Sin Riesgo</v>
      </c>
      <c r="T98" s="1"/>
    </row>
    <row r="99" spans="1:20" s="12" customFormat="1" ht="32.1" customHeight="1">
      <c r="A99" s="552" t="s">
        <v>3774</v>
      </c>
      <c r="B99" s="553" t="s">
        <v>4408</v>
      </c>
      <c r="C99" s="552" t="s">
        <v>4409</v>
      </c>
      <c r="D99" s="346">
        <v>45</v>
      </c>
      <c r="E99" s="47"/>
      <c r="F99" s="47"/>
      <c r="G99" s="47"/>
      <c r="H99" s="47"/>
      <c r="I99" s="47"/>
      <c r="J99" s="47"/>
      <c r="K99" s="47"/>
      <c r="L99" s="47"/>
      <c r="M99" s="47">
        <v>100</v>
      </c>
      <c r="N99" s="47"/>
      <c r="O99" s="47"/>
      <c r="P99" s="47"/>
      <c r="Q99" s="314">
        <f t="shared" si="8"/>
        <v>100</v>
      </c>
      <c r="R99" s="363" t="str">
        <f t="shared" si="9"/>
        <v>NO</v>
      </c>
      <c r="S99" s="316" t="str">
        <f t="shared" si="7"/>
        <v>Inviable Sanitariamente</v>
      </c>
      <c r="T99" s="1"/>
    </row>
    <row r="100" spans="1:20" s="12" customFormat="1" ht="32.1" customHeight="1">
      <c r="A100" s="552" t="s">
        <v>3774</v>
      </c>
      <c r="B100" s="553" t="s">
        <v>4410</v>
      </c>
      <c r="C100" s="552" t="s">
        <v>4411</v>
      </c>
      <c r="D100" s="346">
        <v>70</v>
      </c>
      <c r="E100" s="47"/>
      <c r="F100" s="47"/>
      <c r="G100" s="47"/>
      <c r="H100" s="47"/>
      <c r="I100" s="47"/>
      <c r="J100" s="47"/>
      <c r="K100" s="47"/>
      <c r="L100" s="47"/>
      <c r="M100" s="47">
        <v>94</v>
      </c>
      <c r="N100" s="47"/>
      <c r="O100" s="47"/>
      <c r="P100" s="47"/>
      <c r="Q100" s="314">
        <f t="shared" si="8"/>
        <v>94</v>
      </c>
      <c r="R100" s="363" t="str">
        <f t="shared" si="9"/>
        <v>NO</v>
      </c>
      <c r="S100" s="316" t="str">
        <f t="shared" si="7"/>
        <v>Inviable Sanitariamente</v>
      </c>
      <c r="T100" s="1"/>
    </row>
    <row r="101" spans="1:20" s="12" customFormat="1" ht="32.1" customHeight="1">
      <c r="A101" s="552" t="s">
        <v>3774</v>
      </c>
      <c r="B101" s="553" t="s">
        <v>426</v>
      </c>
      <c r="C101" s="552" t="s">
        <v>4412</v>
      </c>
      <c r="D101" s="346">
        <v>23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>
        <v>90.35</v>
      </c>
      <c r="P101" s="47"/>
      <c r="Q101" s="314">
        <f t="shared" si="8"/>
        <v>90.35</v>
      </c>
      <c r="R101" s="363" t="str">
        <f t="shared" si="9"/>
        <v>NO</v>
      </c>
      <c r="S101" s="316" t="str">
        <f t="shared" si="7"/>
        <v>Inviable Sanitariamente</v>
      </c>
      <c r="T101" s="1"/>
    </row>
    <row r="102" spans="1:20" s="101" customFormat="1" ht="32.1" customHeight="1">
      <c r="A102" s="669" t="s">
        <v>3775</v>
      </c>
      <c r="B102" s="669" t="s">
        <v>857</v>
      </c>
      <c r="C102" s="664" t="s">
        <v>858</v>
      </c>
      <c r="D102" s="304">
        <v>60</v>
      </c>
      <c r="E102" s="47"/>
      <c r="F102" s="47"/>
      <c r="G102" s="47"/>
      <c r="H102" s="47"/>
      <c r="I102" s="47"/>
      <c r="J102" s="47"/>
      <c r="K102" s="47"/>
      <c r="L102" s="47"/>
      <c r="M102" s="47">
        <v>90</v>
      </c>
      <c r="N102" s="47"/>
      <c r="O102" s="47"/>
      <c r="P102" s="47"/>
      <c r="Q102" s="47">
        <f t="shared" si="8"/>
        <v>90</v>
      </c>
      <c r="R102" s="315" t="str">
        <f t="shared" si="9"/>
        <v>NO</v>
      </c>
      <c r="S102" s="316" t="str">
        <f t="shared" si="7"/>
        <v>Inviable Sanitariamente</v>
      </c>
      <c r="T102" s="113"/>
    </row>
    <row r="103" spans="1:20" s="101" customFormat="1" ht="32.1" customHeight="1">
      <c r="A103" s="562" t="s">
        <v>3775</v>
      </c>
      <c r="B103" s="562" t="s">
        <v>859</v>
      </c>
      <c r="C103" s="562" t="s">
        <v>860</v>
      </c>
      <c r="D103" s="304">
        <v>30</v>
      </c>
      <c r="E103" s="47"/>
      <c r="F103" s="47"/>
      <c r="G103" s="47"/>
      <c r="H103" s="47"/>
      <c r="I103" s="47"/>
      <c r="J103" s="47"/>
      <c r="K103" s="47"/>
      <c r="L103" s="47">
        <v>88.8</v>
      </c>
      <c r="M103" s="47"/>
      <c r="N103" s="47"/>
      <c r="O103" s="47"/>
      <c r="P103" s="47"/>
      <c r="Q103" s="47">
        <f t="shared" si="8"/>
        <v>88.8</v>
      </c>
      <c r="R103" s="315" t="str">
        <f t="shared" si="9"/>
        <v>NO</v>
      </c>
      <c r="S103" s="316" t="str">
        <f t="shared" si="7"/>
        <v>Inviable Sanitariamente</v>
      </c>
      <c r="T103" s="113"/>
    </row>
    <row r="104" spans="1:20" s="101" customFormat="1" ht="32.1" customHeight="1">
      <c r="A104" s="562" t="s">
        <v>3775</v>
      </c>
      <c r="B104" s="562" t="s">
        <v>861</v>
      </c>
      <c r="C104" s="562" t="s">
        <v>862</v>
      </c>
      <c r="D104" s="304">
        <v>20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>
        <v>90.9</v>
      </c>
      <c r="Q104" s="47">
        <f t="shared" si="8"/>
        <v>90.9</v>
      </c>
      <c r="R104" s="315" t="str">
        <f t="shared" si="9"/>
        <v>NO</v>
      </c>
      <c r="S104" s="316" t="str">
        <f t="shared" si="7"/>
        <v>Inviable Sanitariamente</v>
      </c>
      <c r="T104" s="113"/>
    </row>
    <row r="105" spans="1:20" s="101" customFormat="1" ht="32.1" customHeight="1">
      <c r="A105" s="562" t="s">
        <v>3775</v>
      </c>
      <c r="B105" s="562" t="s">
        <v>863</v>
      </c>
      <c r="C105" s="562" t="s">
        <v>864</v>
      </c>
      <c r="D105" s="304">
        <v>20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>
        <v>92.1</v>
      </c>
      <c r="P105" s="47"/>
      <c r="Q105" s="47">
        <f t="shared" si="8"/>
        <v>92.1</v>
      </c>
      <c r="R105" s="315" t="str">
        <f t="shared" si="9"/>
        <v>NO</v>
      </c>
      <c r="S105" s="316" t="str">
        <f t="shared" si="7"/>
        <v>Inviable Sanitariamente</v>
      </c>
      <c r="T105" s="113"/>
    </row>
    <row r="106" spans="1:20" s="101" customFormat="1" ht="32.1" customHeight="1">
      <c r="A106" s="562" t="s">
        <v>3775</v>
      </c>
      <c r="B106" s="562" t="s">
        <v>865</v>
      </c>
      <c r="C106" s="562" t="s">
        <v>866</v>
      </c>
      <c r="D106" s="304">
        <v>20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>
        <v>97</v>
      </c>
      <c r="Q106" s="47">
        <f t="shared" si="8"/>
        <v>97</v>
      </c>
      <c r="R106" s="315" t="str">
        <f t="shared" si="9"/>
        <v>NO</v>
      </c>
      <c r="S106" s="316" t="str">
        <f t="shared" si="7"/>
        <v>Inviable Sanitariamente</v>
      </c>
      <c r="T106" s="113"/>
    </row>
    <row r="107" spans="1:20" s="101" customFormat="1" ht="32.1" customHeight="1">
      <c r="A107" s="562" t="s">
        <v>3775</v>
      </c>
      <c r="B107" s="562" t="s">
        <v>867</v>
      </c>
      <c r="C107" s="562" t="s">
        <v>868</v>
      </c>
      <c r="D107" s="304">
        <v>30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>
        <v>93.3</v>
      </c>
      <c r="O107" s="47"/>
      <c r="P107" s="47"/>
      <c r="Q107" s="47">
        <f t="shared" si="8"/>
        <v>93.3</v>
      </c>
      <c r="R107" s="315" t="str">
        <f t="shared" si="9"/>
        <v>NO</v>
      </c>
      <c r="S107" s="316" t="str">
        <f t="shared" si="7"/>
        <v>Inviable Sanitariamente</v>
      </c>
      <c r="T107" s="113"/>
    </row>
    <row r="108" spans="1:20" s="101" customFormat="1" ht="32.1" customHeight="1">
      <c r="A108" s="562" t="s">
        <v>3775</v>
      </c>
      <c r="B108" s="562" t="s">
        <v>755</v>
      </c>
      <c r="C108" s="562" t="s">
        <v>869</v>
      </c>
      <c r="D108" s="304">
        <v>55</v>
      </c>
      <c r="E108" s="47"/>
      <c r="F108" s="47"/>
      <c r="G108" s="47">
        <v>90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>
        <f t="shared" si="8"/>
        <v>90</v>
      </c>
      <c r="R108" s="315" t="str">
        <f t="shared" si="9"/>
        <v>NO</v>
      </c>
      <c r="S108" s="316" t="str">
        <f t="shared" si="7"/>
        <v>Inviable Sanitariamente</v>
      </c>
      <c r="T108" s="113"/>
    </row>
    <row r="109" spans="1:20" s="101" customFormat="1" ht="32.1" customHeight="1">
      <c r="A109" s="562" t="s">
        <v>3775</v>
      </c>
      <c r="B109" s="562" t="s">
        <v>870</v>
      </c>
      <c r="C109" s="562" t="s">
        <v>871</v>
      </c>
      <c r="D109" s="304">
        <v>60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315"/>
      <c r="S109" s="316"/>
      <c r="T109" s="113"/>
    </row>
    <row r="110" spans="1:20" s="97" customFormat="1" ht="30" customHeight="1">
      <c r="A110" s="562" t="s">
        <v>3775</v>
      </c>
      <c r="B110" s="562" t="s">
        <v>872</v>
      </c>
      <c r="C110" s="562" t="s">
        <v>873</v>
      </c>
      <c r="D110" s="304">
        <v>30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>
        <v>97.3</v>
      </c>
      <c r="Q110" s="47">
        <f t="shared" si="8"/>
        <v>97.3</v>
      </c>
      <c r="R110" s="315" t="str">
        <f t="shared" si="9"/>
        <v>NO</v>
      </c>
      <c r="S110" s="316" t="str">
        <f t="shared" si="7"/>
        <v>Inviable Sanitariamente</v>
      </c>
    </row>
    <row r="111" spans="1:20" s="97" customFormat="1" ht="30" customHeight="1">
      <c r="A111" s="562" t="s">
        <v>3775</v>
      </c>
      <c r="B111" s="562" t="s">
        <v>874</v>
      </c>
      <c r="C111" s="562" t="s">
        <v>875</v>
      </c>
      <c r="D111" s="304">
        <v>53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315"/>
      <c r="S111" s="316"/>
    </row>
    <row r="112" spans="1:20" s="97" customFormat="1" ht="30" customHeight="1">
      <c r="A112" s="404" t="s">
        <v>3776</v>
      </c>
      <c r="B112" s="362" t="s">
        <v>909</v>
      </c>
      <c r="C112" s="362" t="s">
        <v>910</v>
      </c>
      <c r="D112" s="346">
        <v>264</v>
      </c>
      <c r="E112" s="47"/>
      <c r="F112" s="47"/>
      <c r="G112" s="47"/>
      <c r="H112" s="47"/>
      <c r="I112" s="47">
        <v>0</v>
      </c>
      <c r="J112" s="47"/>
      <c r="K112" s="47"/>
      <c r="L112" s="47"/>
      <c r="M112" s="47"/>
      <c r="N112" s="47"/>
      <c r="O112" s="47"/>
      <c r="P112" s="47"/>
      <c r="Q112" s="47">
        <f t="shared" si="8"/>
        <v>0</v>
      </c>
      <c r="R112" s="315" t="str">
        <f t="shared" si="9"/>
        <v>SI</v>
      </c>
      <c r="S112" s="316" t="str">
        <f t="shared" si="7"/>
        <v>Sin Riesgo</v>
      </c>
    </row>
    <row r="113" spans="1:19" s="97" customFormat="1" ht="32.1" customHeight="1">
      <c r="A113" s="404" t="s">
        <v>3776</v>
      </c>
      <c r="B113" s="324" t="s">
        <v>911</v>
      </c>
      <c r="C113" s="324" t="s">
        <v>912</v>
      </c>
      <c r="D113" s="346">
        <v>267</v>
      </c>
      <c r="E113" s="47"/>
      <c r="F113" s="47"/>
      <c r="G113" s="47"/>
      <c r="H113" s="47"/>
      <c r="I113" s="47"/>
      <c r="J113" s="47">
        <v>97</v>
      </c>
      <c r="K113" s="47"/>
      <c r="L113" s="47"/>
      <c r="M113" s="47"/>
      <c r="N113" s="47"/>
      <c r="O113" s="47"/>
      <c r="P113" s="47"/>
      <c r="Q113" s="47">
        <f t="shared" si="8"/>
        <v>97</v>
      </c>
      <c r="R113" s="315" t="str">
        <f t="shared" si="9"/>
        <v>NO</v>
      </c>
      <c r="S113" s="316" t="str">
        <f t="shared" si="7"/>
        <v>Inviable Sanitariamente</v>
      </c>
    </row>
    <row r="114" spans="1:19" s="97" customFormat="1" ht="32.1" customHeight="1">
      <c r="A114" s="404" t="s">
        <v>3776</v>
      </c>
      <c r="B114" s="324" t="s">
        <v>913</v>
      </c>
      <c r="C114" s="324" t="s">
        <v>914</v>
      </c>
      <c r="D114" s="346">
        <v>184</v>
      </c>
      <c r="E114" s="47"/>
      <c r="F114" s="47"/>
      <c r="G114" s="47"/>
      <c r="H114" s="47"/>
      <c r="I114" s="47"/>
      <c r="J114" s="47">
        <v>97</v>
      </c>
      <c r="K114" s="47"/>
      <c r="L114" s="47"/>
      <c r="M114" s="47"/>
      <c r="N114" s="47"/>
      <c r="O114" s="47"/>
      <c r="P114" s="47"/>
      <c r="Q114" s="47">
        <f t="shared" si="8"/>
        <v>97</v>
      </c>
      <c r="R114" s="315" t="str">
        <f t="shared" si="9"/>
        <v>NO</v>
      </c>
      <c r="S114" s="316" t="str">
        <f t="shared" si="7"/>
        <v>Inviable Sanitariamente</v>
      </c>
    </row>
    <row r="115" spans="1:19" s="13" customFormat="1" ht="32.1" customHeight="1">
      <c r="A115" s="404" t="s">
        <v>3776</v>
      </c>
      <c r="B115" s="324" t="s">
        <v>915</v>
      </c>
      <c r="C115" s="324" t="s">
        <v>916</v>
      </c>
      <c r="D115" s="346">
        <v>318</v>
      </c>
      <c r="E115" s="47"/>
      <c r="F115" s="47"/>
      <c r="G115" s="47">
        <v>0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>
        <f t="shared" si="8"/>
        <v>0</v>
      </c>
      <c r="R115" s="315" t="str">
        <f t="shared" si="9"/>
        <v>SI</v>
      </c>
      <c r="S115" s="316" t="str">
        <f t="shared" si="7"/>
        <v>Sin Riesgo</v>
      </c>
    </row>
    <row r="116" spans="1:19" s="97" customFormat="1" ht="32.1" customHeight="1">
      <c r="A116" s="404" t="s">
        <v>3776</v>
      </c>
      <c r="B116" s="324" t="s">
        <v>917</v>
      </c>
      <c r="C116" s="324" t="s">
        <v>918</v>
      </c>
      <c r="D116" s="346">
        <v>120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>
        <v>0</v>
      </c>
      <c r="O116" s="47"/>
      <c r="P116" s="47"/>
      <c r="Q116" s="47">
        <f t="shared" si="8"/>
        <v>0</v>
      </c>
      <c r="R116" s="315" t="str">
        <f t="shared" si="9"/>
        <v>SI</v>
      </c>
      <c r="S116" s="316" t="str">
        <f t="shared" si="7"/>
        <v>Sin Riesgo</v>
      </c>
    </row>
    <row r="117" spans="1:19" s="97" customFormat="1" ht="32.1" customHeight="1">
      <c r="A117" s="404" t="s">
        <v>3776</v>
      </c>
      <c r="B117" s="324" t="s">
        <v>238</v>
      </c>
      <c r="C117" s="324" t="s">
        <v>919</v>
      </c>
      <c r="D117" s="346">
        <v>30</v>
      </c>
      <c r="E117" s="47"/>
      <c r="F117" s="47"/>
      <c r="G117" s="47"/>
      <c r="H117" s="47"/>
      <c r="I117" s="47"/>
      <c r="J117" s="47">
        <v>0</v>
      </c>
      <c r="K117" s="47"/>
      <c r="L117" s="47"/>
      <c r="M117" s="47"/>
      <c r="N117" s="47"/>
      <c r="O117" s="47"/>
      <c r="P117" s="47"/>
      <c r="Q117" s="47">
        <f t="shared" si="8"/>
        <v>0</v>
      </c>
      <c r="R117" s="315" t="str">
        <f t="shared" si="9"/>
        <v>SI</v>
      </c>
      <c r="S117" s="316" t="str">
        <f t="shared" si="7"/>
        <v>Sin Riesgo</v>
      </c>
    </row>
    <row r="118" spans="1:19" s="97" customFormat="1" ht="32.1" customHeight="1">
      <c r="A118" s="404" t="s">
        <v>3776</v>
      </c>
      <c r="B118" s="324" t="s">
        <v>920</v>
      </c>
      <c r="C118" s="324" t="s">
        <v>921</v>
      </c>
      <c r="D118" s="346">
        <v>30</v>
      </c>
      <c r="E118" s="47">
        <v>0</v>
      </c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>
        <f t="shared" si="8"/>
        <v>0</v>
      </c>
      <c r="R118" s="315" t="str">
        <f t="shared" si="9"/>
        <v>SI</v>
      </c>
      <c r="S118" s="316" t="str">
        <f t="shared" si="7"/>
        <v>Sin Riesgo</v>
      </c>
    </row>
    <row r="119" spans="1:19" s="97" customFormat="1" ht="32.1" customHeight="1">
      <c r="A119" s="404" t="s">
        <v>3776</v>
      </c>
      <c r="B119" s="324" t="s">
        <v>922</v>
      </c>
      <c r="C119" s="324" t="s">
        <v>923</v>
      </c>
      <c r="D119" s="346">
        <v>27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>
        <v>97</v>
      </c>
      <c r="P119" s="47"/>
      <c r="Q119" s="47">
        <f t="shared" si="8"/>
        <v>97</v>
      </c>
      <c r="R119" s="315" t="str">
        <f t="shared" si="9"/>
        <v>NO</v>
      </c>
      <c r="S119" s="316" t="str">
        <f t="shared" si="7"/>
        <v>Inviable Sanitariamente</v>
      </c>
    </row>
    <row r="120" spans="1:19" s="97" customFormat="1" ht="32.1" customHeight="1">
      <c r="A120" s="404" t="s">
        <v>3776</v>
      </c>
      <c r="B120" s="324" t="s">
        <v>924</v>
      </c>
      <c r="C120" s="324" t="s">
        <v>925</v>
      </c>
      <c r="D120" s="399">
        <v>74</v>
      </c>
      <c r="E120" s="47"/>
      <c r="F120" s="47"/>
      <c r="G120" s="47"/>
      <c r="H120" s="47"/>
      <c r="I120" s="47"/>
      <c r="J120" s="47">
        <v>0</v>
      </c>
      <c r="K120" s="47"/>
      <c r="L120" s="47"/>
      <c r="M120" s="47"/>
      <c r="N120" s="47"/>
      <c r="O120" s="47"/>
      <c r="P120" s="47"/>
      <c r="Q120" s="47">
        <f t="shared" si="8"/>
        <v>0</v>
      </c>
      <c r="R120" s="315" t="str">
        <f t="shared" si="9"/>
        <v>SI</v>
      </c>
      <c r="S120" s="316" t="str">
        <f t="shared" si="7"/>
        <v>Sin Riesgo</v>
      </c>
    </row>
    <row r="121" spans="1:19" s="97" customFormat="1" ht="32.1" customHeight="1">
      <c r="A121" s="404" t="s">
        <v>3776</v>
      </c>
      <c r="B121" s="324" t="s">
        <v>926</v>
      </c>
      <c r="C121" s="324" t="s">
        <v>927</v>
      </c>
      <c r="D121" s="346">
        <v>215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>
        <v>0</v>
      </c>
      <c r="P121" s="47"/>
      <c r="Q121" s="47">
        <f t="shared" si="8"/>
        <v>0</v>
      </c>
      <c r="R121" s="315" t="str">
        <f t="shared" si="9"/>
        <v>SI</v>
      </c>
      <c r="S121" s="316" t="str">
        <f t="shared" si="7"/>
        <v>Sin Riesgo</v>
      </c>
    </row>
    <row r="122" spans="1:19" s="97" customFormat="1" ht="32.1" customHeight="1">
      <c r="A122" s="404" t="s">
        <v>3776</v>
      </c>
      <c r="B122" s="324" t="s">
        <v>614</v>
      </c>
      <c r="C122" s="324" t="s">
        <v>928</v>
      </c>
      <c r="D122" s="346">
        <v>36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v>97</v>
      </c>
      <c r="Q122" s="47">
        <f t="shared" si="8"/>
        <v>97</v>
      </c>
      <c r="R122" s="315" t="str">
        <f t="shared" si="9"/>
        <v>NO</v>
      </c>
      <c r="S122" s="316" t="str">
        <f t="shared" si="7"/>
        <v>Inviable Sanitariamente</v>
      </c>
    </row>
    <row r="123" spans="1:19" s="97" customFormat="1" ht="32.1" customHeight="1">
      <c r="A123" s="404" t="s">
        <v>3776</v>
      </c>
      <c r="B123" s="324" t="s">
        <v>929</v>
      </c>
      <c r="C123" s="324" t="s">
        <v>930</v>
      </c>
      <c r="D123" s="399">
        <v>26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>
        <v>97</v>
      </c>
      <c r="P123" s="47"/>
      <c r="Q123" s="47">
        <f t="shared" si="8"/>
        <v>97</v>
      </c>
      <c r="R123" s="315" t="str">
        <f t="shared" si="9"/>
        <v>NO</v>
      </c>
      <c r="S123" s="316" t="str">
        <f t="shared" si="7"/>
        <v>Inviable Sanitariamente</v>
      </c>
    </row>
    <row r="124" spans="1:19" s="97" customFormat="1" ht="32.1" customHeight="1">
      <c r="A124" s="404" t="s">
        <v>3776</v>
      </c>
      <c r="B124" s="324" t="s">
        <v>630</v>
      </c>
      <c r="C124" s="324" t="s">
        <v>931</v>
      </c>
      <c r="D124" s="346">
        <v>15</v>
      </c>
      <c r="E124" s="47"/>
      <c r="F124" s="47">
        <v>97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>
        <f t="shared" si="8"/>
        <v>97</v>
      </c>
      <c r="R124" s="315" t="str">
        <f t="shared" si="9"/>
        <v>NO</v>
      </c>
      <c r="S124" s="316" t="str">
        <f t="shared" si="7"/>
        <v>Inviable Sanitariamente</v>
      </c>
    </row>
    <row r="125" spans="1:19" s="97" customFormat="1" ht="32.1" customHeight="1">
      <c r="A125" s="404" t="s">
        <v>3776</v>
      </c>
      <c r="B125" s="324" t="s">
        <v>932</v>
      </c>
      <c r="C125" s="324" t="s">
        <v>933</v>
      </c>
      <c r="D125" s="346">
        <v>35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>
        <v>0</v>
      </c>
      <c r="P125" s="47"/>
      <c r="Q125" s="47">
        <f>AVERAGE(E125:P125)</f>
        <v>0</v>
      </c>
      <c r="R125" s="315" t="str">
        <f>IF(Q125&lt;5,"SI","NO")</f>
        <v>SI</v>
      </c>
      <c r="S125" s="316" t="str">
        <f>IF(Q125&lt;5,"Sin Riesgo",IF(Q125 &lt;=14,"Bajo",IF(Q125&lt;=35,"Medio",IF(Q125&lt;=80,"Alto","Inviable Sanitariamente"))))</f>
        <v>Sin Riesgo</v>
      </c>
    </row>
    <row r="126" spans="1:19" s="97" customFormat="1" ht="32.1" customHeight="1">
      <c r="A126" s="404" t="s">
        <v>3776</v>
      </c>
      <c r="B126" s="324" t="s">
        <v>4031</v>
      </c>
      <c r="C126" s="324" t="s">
        <v>4032</v>
      </c>
      <c r="D126" s="346">
        <v>35</v>
      </c>
      <c r="E126" s="47">
        <v>0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>
        <f t="shared" si="8"/>
        <v>0</v>
      </c>
      <c r="R126" s="315" t="str">
        <f t="shared" si="9"/>
        <v>SI</v>
      </c>
      <c r="S126" s="316" t="str">
        <f t="shared" si="7"/>
        <v>Sin Riesgo</v>
      </c>
    </row>
    <row r="127" spans="1:19" s="238" customFormat="1" ht="32.1" customHeight="1">
      <c r="A127" s="108"/>
      <c r="B127" s="242"/>
      <c r="C127" s="242"/>
      <c r="D127" s="237"/>
      <c r="R127" s="136"/>
      <c r="S127" s="137"/>
    </row>
    <row r="128" spans="1:19" ht="32.25" customHeight="1">
      <c r="Q128" s="238"/>
      <c r="R128" s="136"/>
      <c r="S128" s="137"/>
    </row>
    <row r="129" spans="1:19" ht="32.25" customHeight="1">
      <c r="A129" s="266" t="s">
        <v>3920</v>
      </c>
      <c r="B129" s="266" t="s">
        <v>3967</v>
      </c>
      <c r="C129" s="690"/>
      <c r="D129" s="691"/>
      <c r="E129" s="691"/>
      <c r="F129" s="691"/>
      <c r="G129" s="691"/>
      <c r="H129" s="691"/>
      <c r="I129" s="691"/>
      <c r="J129" s="691"/>
      <c r="K129" s="691"/>
      <c r="L129" s="691"/>
      <c r="M129" s="691"/>
      <c r="N129" s="691"/>
      <c r="O129" s="691"/>
      <c r="P129" s="691"/>
      <c r="Q129" s="691"/>
      <c r="R129" s="691"/>
      <c r="S129" s="691"/>
    </row>
    <row r="130" spans="1:19" ht="32.25" customHeight="1">
      <c r="A130" s="270" t="s">
        <v>3881</v>
      </c>
      <c r="B130" s="272">
        <f>COUNTIF(E12:P126,"&lt;=5")</f>
        <v>36</v>
      </c>
      <c r="C130" s="690"/>
      <c r="D130" s="691"/>
      <c r="E130" s="691"/>
      <c r="F130" s="691"/>
      <c r="G130" s="691"/>
      <c r="H130" s="691"/>
      <c r="I130" s="691"/>
      <c r="J130" s="691"/>
      <c r="K130" s="691"/>
      <c r="L130" s="691"/>
      <c r="M130" s="691"/>
      <c r="N130" s="691"/>
      <c r="O130" s="691"/>
      <c r="P130" s="691"/>
      <c r="Q130" s="691"/>
      <c r="R130" s="691"/>
      <c r="S130" s="691"/>
    </row>
    <row r="131" spans="1:19" ht="32.25" customHeight="1">
      <c r="A131" s="257" t="s">
        <v>3882</v>
      </c>
      <c r="B131" s="269">
        <f>COUNTIFS(E12:P126,"&gt;5",E12:P126,"&lt;=14")</f>
        <v>0</v>
      </c>
      <c r="C131" s="492"/>
      <c r="D131" s="499"/>
      <c r="E131" s="499"/>
      <c r="F131" s="499"/>
      <c r="G131" s="499"/>
      <c r="H131" s="499"/>
      <c r="I131" s="499"/>
      <c r="J131" s="499"/>
      <c r="K131" s="499"/>
      <c r="L131" s="499"/>
      <c r="M131" s="499"/>
      <c r="N131" s="499"/>
      <c r="O131" s="499"/>
      <c r="P131" s="499"/>
      <c r="Q131" s="499"/>
      <c r="R131" s="500"/>
      <c r="S131" s="500"/>
    </row>
    <row r="132" spans="1:19" ht="32.25" customHeight="1">
      <c r="A132" s="258" t="s">
        <v>3883</v>
      </c>
      <c r="B132" s="264">
        <f>COUNTIFS(E12:P126,"&gt;14",E12:P126,"&lt;=35")</f>
        <v>3</v>
      </c>
      <c r="C132" s="498"/>
      <c r="D132" s="498"/>
      <c r="E132" s="501"/>
      <c r="F132" s="501"/>
      <c r="G132" s="501"/>
      <c r="H132" s="501"/>
      <c r="I132" s="501"/>
      <c r="J132" s="501"/>
      <c r="K132" s="501"/>
      <c r="L132" s="501"/>
      <c r="M132" s="501"/>
      <c r="N132" s="501"/>
      <c r="O132" s="501"/>
      <c r="P132" s="501"/>
      <c r="Q132" s="501"/>
      <c r="R132" s="500"/>
      <c r="S132" s="500"/>
    </row>
    <row r="133" spans="1:19" ht="32.25" customHeight="1">
      <c r="A133" s="259" t="s">
        <v>3884</v>
      </c>
      <c r="B133" s="264">
        <f>COUNTIFS(E12:P126,"&gt;35",E12:P126,"&lt;=80")</f>
        <v>7</v>
      </c>
      <c r="C133" s="502"/>
      <c r="D133" s="502"/>
      <c r="E133" s="500"/>
      <c r="F133" s="500" t="s">
        <v>1539</v>
      </c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  <c r="S133" s="500"/>
    </row>
    <row r="134" spans="1:19" ht="32.25" customHeight="1">
      <c r="A134" s="260" t="s">
        <v>3885</v>
      </c>
      <c r="B134" s="264">
        <f>COUNTIFS(E12:P126,"&gt;80",E12:P126,"&lt;=100")</f>
        <v>133</v>
      </c>
      <c r="C134" s="502"/>
      <c r="D134" s="502"/>
      <c r="E134" s="500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</row>
    <row r="135" spans="1:19" ht="32.25" customHeight="1">
      <c r="A135" s="279" t="s">
        <v>3886</v>
      </c>
      <c r="B135" s="280">
        <f>COUNT(E12:P126)</f>
        <v>179</v>
      </c>
    </row>
    <row r="136" spans="1:19" ht="36" customHeight="1">
      <c r="A136" s="263" t="s">
        <v>3888</v>
      </c>
      <c r="B136" s="265">
        <f>B135-B130</f>
        <v>143</v>
      </c>
    </row>
    <row r="137" spans="1:19"/>
    <row r="138" spans="1:19"/>
    <row r="139" spans="1:19"/>
    <row r="140" spans="1:19"/>
    <row r="141" spans="1:19"/>
    <row r="142" spans="1:19"/>
    <row r="143" spans="1:19"/>
    <row r="144" spans="1:19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6"/>
    <row r="345"/>
    <row r="346"/>
    <row r="347"/>
    <row r="348"/>
    <row r="349"/>
    <row r="350"/>
    <row r="351"/>
  </sheetData>
  <autoFilter ref="A11:W127" xr:uid="{00000000-0009-0000-0000-000007000000}">
    <sortState ref="A13:W122">
      <sortCondition ref="A11:A136"/>
    </sortState>
  </autoFilter>
  <customSheetViews>
    <customSheetView guid="{75DD7674-E7DE-4BB1-A36D-76AA33452CB3}" scale="60" showAutoFilter="1" hiddenRows="1" hiddenColumns="1">
      <pane xSplit="3" ySplit="11" topLeftCell="G12" activePane="bottomRight" state="frozenSplit"/>
      <selection pane="bottomRight" activeCell="C21" sqref="C2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1:W122" xr:uid="{00000000-0000-0000-0000-000000000000}">
        <sortState ref="A13:W122">
          <sortCondition ref="A11:A136"/>
        </sortState>
      </autoFilter>
    </customSheetView>
    <customSheetView guid="{AEDE1BDB-8710-4CDA-8488-31F49D423ACE}" scale="60" hiddenRows="1" hiddenColumns="1">
      <pane xSplit="3" ySplit="11" topLeftCell="D93" activePane="bottomRight" state="frozenSplit"/>
      <selection pane="bottomRight" activeCell="S150" sqref="S150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11" topLeftCell="D107" activePane="bottomRight" state="frozenSplit"/>
      <selection pane="bottomRight" activeCell="A12" sqref="A12:A12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45C8AF51-29EC-46A5-AB7F-1F0634E55D82}" scale="60" hiddenRows="1" hiddenColumns="1">
      <pane xSplit="2.18957345971564" ySplit="11" topLeftCell="D12" activePane="bottomRight" state="frozenSplit"/>
      <selection pane="bottomRight" activeCell="C12" sqref="C12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</customSheetViews>
  <mergeCells count="21">
    <mergeCell ref="A8:B8"/>
    <mergeCell ref="A7:B7"/>
    <mergeCell ref="A10:A11"/>
    <mergeCell ref="E10:P10"/>
    <mergeCell ref="Q10:Q11"/>
    <mergeCell ref="C129:S130"/>
    <mergeCell ref="S10:S11"/>
    <mergeCell ref="R10:R11"/>
    <mergeCell ref="B10:B11"/>
    <mergeCell ref="C10:C11"/>
    <mergeCell ref="D10:D11"/>
    <mergeCell ref="B1:D1"/>
    <mergeCell ref="B2:D2"/>
    <mergeCell ref="B3:D3"/>
    <mergeCell ref="E5:G6"/>
    <mergeCell ref="B5:C6"/>
    <mergeCell ref="H5:J6"/>
    <mergeCell ref="K5:M6"/>
    <mergeCell ref="N5:P6"/>
    <mergeCell ref="Q5:R6"/>
    <mergeCell ref="S5:S6"/>
  </mergeCells>
  <phoneticPr fontId="2" type="noConversion"/>
  <conditionalFormatting sqref="E12:Q17 E20:Q20 Q126:Q128 E127:P127 E64:Q64 E26:Q30 Q21:Q25 E86:Q86 E90:Q90 Q87:Q89 E102:Q111 Q91:Q98 Q112:Q124 Q31:Q62 Q65:Q67 E68:Q69 Q18:Q19 Q70:Q85">
    <cfRule type="containsBlanks" dxfId="4369" priority="3193" stopIfTrue="1">
      <formula>LEN(TRIM(E12))=0</formula>
    </cfRule>
    <cfRule type="cellIs" dxfId="4368" priority="3194" stopIfTrue="1" operator="between">
      <formula>80.1</formula>
      <formula>100</formula>
    </cfRule>
    <cfRule type="cellIs" dxfId="4367" priority="3195" stopIfTrue="1" operator="between">
      <formula>35.1</formula>
      <formula>80</formula>
    </cfRule>
    <cfRule type="cellIs" dxfId="4366" priority="3196" stopIfTrue="1" operator="between">
      <formula>14.1</formula>
      <formula>35</formula>
    </cfRule>
    <cfRule type="cellIs" dxfId="4365" priority="3197" stopIfTrue="1" operator="between">
      <formula>5.1</formula>
      <formula>14</formula>
    </cfRule>
    <cfRule type="cellIs" dxfId="4364" priority="3198" stopIfTrue="1" operator="between">
      <formula>0</formula>
      <formula>5</formula>
    </cfRule>
    <cfRule type="containsBlanks" dxfId="4363" priority="3199" stopIfTrue="1">
      <formula>LEN(TRIM(E12))=0</formula>
    </cfRule>
  </conditionalFormatting>
  <conditionalFormatting sqref="P86 N86 E110:P111 N90:P90">
    <cfRule type="containsBlanks" dxfId="4362" priority="1563" stopIfTrue="1">
      <formula>LEN(TRIM(E86))=0</formula>
    </cfRule>
    <cfRule type="cellIs" dxfId="4361" priority="1564" stopIfTrue="1" operator="between">
      <formula>79.1</formula>
      <formula>100</formula>
    </cfRule>
    <cfRule type="cellIs" dxfId="4360" priority="1565" stopIfTrue="1" operator="between">
      <formula>34.1</formula>
      <formula>79</formula>
    </cfRule>
    <cfRule type="cellIs" dxfId="4359" priority="1566" stopIfTrue="1" operator="between">
      <formula>13.1</formula>
      <formula>34</formula>
    </cfRule>
    <cfRule type="cellIs" dxfId="4358" priority="1567" stopIfTrue="1" operator="between">
      <formula>5.1</formula>
      <formula>13</formula>
    </cfRule>
    <cfRule type="cellIs" dxfId="4357" priority="1568" stopIfTrue="1" operator="between">
      <formula>0</formula>
      <formula>5</formula>
    </cfRule>
    <cfRule type="containsBlanks" dxfId="4356" priority="1569" stopIfTrue="1">
      <formula>LEN(TRIM(E86))=0</formula>
    </cfRule>
  </conditionalFormatting>
  <conditionalFormatting sqref="F12:P12 F30:P30 N29:P29 K29:L29 O28:P28 H27:P27 G26:P26">
    <cfRule type="containsBlanks" dxfId="4355" priority="1598" stopIfTrue="1">
      <formula>LEN(TRIM(F12))=0</formula>
    </cfRule>
    <cfRule type="cellIs" dxfId="4354" priority="1599" stopIfTrue="1" operator="between">
      <formula>80.1</formula>
      <formula>100</formula>
    </cfRule>
    <cfRule type="cellIs" dxfId="4353" priority="1600" stopIfTrue="1" operator="between">
      <formula>35.1</formula>
      <formula>80</formula>
    </cfRule>
    <cfRule type="cellIs" dxfId="4352" priority="1601" stopIfTrue="1" operator="between">
      <formula>14.1</formula>
      <formula>35</formula>
    </cfRule>
    <cfRule type="cellIs" dxfId="4351" priority="1602" stopIfTrue="1" operator="between">
      <formula>5.1</formula>
      <formula>14</formula>
    </cfRule>
    <cfRule type="cellIs" dxfId="4350" priority="1603" stopIfTrue="1" operator="between">
      <formula>0</formula>
      <formula>5</formula>
    </cfRule>
    <cfRule type="containsBlanks" dxfId="4349" priority="1604" stopIfTrue="1">
      <formula>LEN(TRIM(F12))=0</formula>
    </cfRule>
  </conditionalFormatting>
  <conditionalFormatting sqref="E20:P20">
    <cfRule type="containsBlanks" dxfId="4348" priority="1570" stopIfTrue="1">
      <formula>LEN(TRIM(E20))=0</formula>
    </cfRule>
    <cfRule type="cellIs" dxfId="4347" priority="1571" stopIfTrue="1" operator="between">
      <formula>79.1</formula>
      <formula>100</formula>
    </cfRule>
    <cfRule type="cellIs" dxfId="4346" priority="1572" stopIfTrue="1" operator="between">
      <formula>34.1</formula>
      <formula>79</formula>
    </cfRule>
    <cfRule type="cellIs" dxfId="4345" priority="1573" stopIfTrue="1" operator="between">
      <formula>13.1</formula>
      <formula>34</formula>
    </cfRule>
    <cfRule type="cellIs" dxfId="4344" priority="1574" stopIfTrue="1" operator="between">
      <formula>5.1</formula>
      <formula>13</formula>
    </cfRule>
    <cfRule type="cellIs" dxfId="4343" priority="1575" stopIfTrue="1" operator="between">
      <formula>0</formula>
      <formula>5</formula>
    </cfRule>
    <cfRule type="containsBlanks" dxfId="4342" priority="1576" stopIfTrue="1">
      <formula>LEN(TRIM(E20))=0</formula>
    </cfRule>
  </conditionalFormatting>
  <conditionalFormatting sqref="E86:J86">
    <cfRule type="containsBlanks" dxfId="4341" priority="1318" stopIfTrue="1">
      <formula>LEN(TRIM(E86))=0</formula>
    </cfRule>
    <cfRule type="cellIs" dxfId="4340" priority="1319" stopIfTrue="1" operator="between">
      <formula>79.1</formula>
      <formula>100</formula>
    </cfRule>
    <cfRule type="cellIs" dxfId="4339" priority="1320" stopIfTrue="1" operator="between">
      <formula>34.1</formula>
      <formula>79</formula>
    </cfRule>
    <cfRule type="cellIs" dxfId="4338" priority="1321" stopIfTrue="1" operator="between">
      <formula>13.1</formula>
      <formula>34</formula>
    </cfRule>
    <cfRule type="cellIs" dxfId="4337" priority="1322" stopIfTrue="1" operator="between">
      <formula>5.1</formula>
      <formula>13</formula>
    </cfRule>
    <cfRule type="cellIs" dxfId="4336" priority="1323" stopIfTrue="1" operator="between">
      <formula>0</formula>
      <formula>5</formula>
    </cfRule>
    <cfRule type="containsBlanks" dxfId="4335" priority="1324" stopIfTrue="1">
      <formula>LEN(TRIM(E86))=0</formula>
    </cfRule>
  </conditionalFormatting>
  <conditionalFormatting sqref="M29">
    <cfRule type="containsBlanks" dxfId="4334" priority="1381" stopIfTrue="1">
      <formula>LEN(TRIM(M29))=0</formula>
    </cfRule>
    <cfRule type="cellIs" dxfId="4333" priority="1382" stopIfTrue="1" operator="between">
      <formula>79.1</formula>
      <formula>100</formula>
    </cfRule>
    <cfRule type="cellIs" dxfId="4332" priority="1383" stopIfTrue="1" operator="between">
      <formula>34.1</formula>
      <formula>79</formula>
    </cfRule>
    <cfRule type="cellIs" dxfId="4331" priority="1384" stopIfTrue="1" operator="between">
      <formula>13.1</formula>
      <formula>34</formula>
    </cfRule>
    <cfRule type="cellIs" dxfId="4330" priority="1385" stopIfTrue="1" operator="between">
      <formula>5.1</formula>
      <formula>13</formula>
    </cfRule>
    <cfRule type="cellIs" dxfId="4329" priority="1386" stopIfTrue="1" operator="between">
      <formula>0</formula>
      <formula>5</formula>
    </cfRule>
    <cfRule type="containsBlanks" dxfId="4328" priority="1387" stopIfTrue="1">
      <formula>LEN(TRIM(M29))=0</formula>
    </cfRule>
  </conditionalFormatting>
  <conditionalFormatting sqref="E103:P106 O102:P102">
    <cfRule type="containsBlanks" dxfId="4327" priority="1311" stopIfTrue="1">
      <formula>LEN(TRIM(E102))=0</formula>
    </cfRule>
    <cfRule type="cellIs" dxfId="4326" priority="1312" stopIfTrue="1" operator="between">
      <formula>79.1</formula>
      <formula>100</formula>
    </cfRule>
    <cfRule type="cellIs" dxfId="4325" priority="1313" stopIfTrue="1" operator="between">
      <formula>34.1</formula>
      <formula>79</formula>
    </cfRule>
    <cfRule type="cellIs" dxfId="4324" priority="1314" stopIfTrue="1" operator="between">
      <formula>13.1</formula>
      <formula>34</formula>
    </cfRule>
    <cfRule type="cellIs" dxfId="4323" priority="1315" stopIfTrue="1" operator="between">
      <formula>5.1</formula>
      <formula>13</formula>
    </cfRule>
    <cfRule type="cellIs" dxfId="4322" priority="1316" stopIfTrue="1" operator="between">
      <formula>0</formula>
      <formula>5</formula>
    </cfRule>
    <cfRule type="containsBlanks" dxfId="4321" priority="1317" stopIfTrue="1">
      <formula>LEN(TRIM(E102))=0</formula>
    </cfRule>
  </conditionalFormatting>
  <conditionalFormatting sqref="O86">
    <cfRule type="containsBlanks" dxfId="4320" priority="1304" stopIfTrue="1">
      <formula>LEN(TRIM(O86))=0</formula>
    </cfRule>
    <cfRule type="cellIs" dxfId="4319" priority="1305" stopIfTrue="1" operator="between">
      <formula>79.1</formula>
      <formula>100</formula>
    </cfRule>
    <cfRule type="cellIs" dxfId="4318" priority="1306" stopIfTrue="1" operator="between">
      <formula>34.1</formula>
      <formula>79</formula>
    </cfRule>
    <cfRule type="cellIs" dxfId="4317" priority="1307" stopIfTrue="1" operator="between">
      <formula>13.1</formula>
      <formula>34</formula>
    </cfRule>
    <cfRule type="cellIs" dxfId="4316" priority="1308" stopIfTrue="1" operator="between">
      <formula>5.1</formula>
      <formula>13</formula>
    </cfRule>
    <cfRule type="cellIs" dxfId="4315" priority="1309" stopIfTrue="1" operator="between">
      <formula>0</formula>
      <formula>5</formula>
    </cfRule>
    <cfRule type="containsBlanks" dxfId="4314" priority="1310" stopIfTrue="1">
      <formula>LEN(TRIM(O86))=0</formula>
    </cfRule>
  </conditionalFormatting>
  <conditionalFormatting sqref="M86">
    <cfRule type="containsBlanks" dxfId="4313" priority="1276" stopIfTrue="1">
      <formula>LEN(TRIM(M86))=0</formula>
    </cfRule>
    <cfRule type="cellIs" dxfId="4312" priority="1277" stopIfTrue="1" operator="between">
      <formula>79.1</formula>
      <formula>100</formula>
    </cfRule>
    <cfRule type="cellIs" dxfId="4311" priority="1278" stopIfTrue="1" operator="between">
      <formula>34.1</formula>
      <formula>79</formula>
    </cfRule>
    <cfRule type="cellIs" dxfId="4310" priority="1279" stopIfTrue="1" operator="between">
      <formula>13.1</formula>
      <formula>34</formula>
    </cfRule>
    <cfRule type="cellIs" dxfId="4309" priority="1280" stopIfTrue="1" operator="between">
      <formula>5.1</formula>
      <formula>13</formula>
    </cfRule>
    <cfRule type="cellIs" dxfId="4308" priority="1281" stopIfTrue="1" operator="between">
      <formula>0</formula>
      <formula>5</formula>
    </cfRule>
    <cfRule type="containsBlanks" dxfId="4307" priority="1282" stopIfTrue="1">
      <formula>LEN(TRIM(M86))=0</formula>
    </cfRule>
  </conditionalFormatting>
  <conditionalFormatting sqref="L86">
    <cfRule type="containsBlanks" dxfId="4306" priority="1269" stopIfTrue="1">
      <formula>LEN(TRIM(L86))=0</formula>
    </cfRule>
    <cfRule type="cellIs" dxfId="4305" priority="1270" stopIfTrue="1" operator="between">
      <formula>79.1</formula>
      <formula>100</formula>
    </cfRule>
    <cfRule type="cellIs" dxfId="4304" priority="1271" stopIfTrue="1" operator="between">
      <formula>34.1</formula>
      <formula>79</formula>
    </cfRule>
    <cfRule type="cellIs" dxfId="4303" priority="1272" stopIfTrue="1" operator="between">
      <formula>13.1</formula>
      <formula>34</formula>
    </cfRule>
    <cfRule type="cellIs" dxfId="4302" priority="1273" stopIfTrue="1" operator="between">
      <formula>5.1</formula>
      <formula>13</formula>
    </cfRule>
    <cfRule type="cellIs" dxfId="4301" priority="1274" stopIfTrue="1" operator="between">
      <formula>0</formula>
      <formula>5</formula>
    </cfRule>
    <cfRule type="containsBlanks" dxfId="4300" priority="1275" stopIfTrue="1">
      <formula>LEN(TRIM(L86))=0</formula>
    </cfRule>
  </conditionalFormatting>
  <conditionalFormatting sqref="K86">
    <cfRule type="containsBlanks" dxfId="4299" priority="1255" stopIfTrue="1">
      <formula>LEN(TRIM(K86))=0</formula>
    </cfRule>
    <cfRule type="cellIs" dxfId="4298" priority="1256" stopIfTrue="1" operator="between">
      <formula>79.1</formula>
      <formula>100</formula>
    </cfRule>
    <cfRule type="cellIs" dxfId="4297" priority="1257" stopIfTrue="1" operator="between">
      <formula>34.1</formula>
      <formula>79</formula>
    </cfRule>
    <cfRule type="cellIs" dxfId="4296" priority="1258" stopIfTrue="1" operator="between">
      <formula>13.1</formula>
      <formula>34</formula>
    </cfRule>
    <cfRule type="cellIs" dxfId="4295" priority="1259" stopIfTrue="1" operator="between">
      <formula>5.1</formula>
      <formula>13</formula>
    </cfRule>
    <cfRule type="cellIs" dxfId="4294" priority="1260" stopIfTrue="1" operator="between">
      <formula>0</formula>
      <formula>5</formula>
    </cfRule>
    <cfRule type="containsBlanks" dxfId="4293" priority="1261" stopIfTrue="1">
      <formula>LEN(TRIM(K86))=0</formula>
    </cfRule>
  </conditionalFormatting>
  <conditionalFormatting sqref="R64:R98 R126:R128 R102:R124 R12:R62">
    <cfRule type="cellIs" dxfId="4292" priority="1219" stopIfTrue="1" operator="equal">
      <formula>"NO"</formula>
    </cfRule>
  </conditionalFormatting>
  <conditionalFormatting sqref="S127:S128 S102:S124 S12:S62">
    <cfRule type="cellIs" dxfId="4291" priority="1220" stopIfTrue="1" operator="equal">
      <formula>"INVIABLE SANITARIAMENTE"</formula>
    </cfRule>
  </conditionalFormatting>
  <conditionalFormatting sqref="S127:S128">
    <cfRule type="containsText" dxfId="4290" priority="1207" stopIfTrue="1" operator="containsText" text="INVIABLE SANITARIAMENTE">
      <formula>NOT(ISERROR(SEARCH("INVIABLE SANITARIAMENTE",S127)))</formula>
    </cfRule>
    <cfRule type="containsText" dxfId="4289" priority="1208" stopIfTrue="1" operator="containsText" text="ALTO">
      <formula>NOT(ISERROR(SEARCH("ALTO",S127)))</formula>
    </cfRule>
    <cfRule type="containsText" dxfId="4288" priority="1209" stopIfTrue="1" operator="containsText" text="MEDIO">
      <formula>NOT(ISERROR(SEARCH("MEDIO",S127)))</formula>
    </cfRule>
    <cfRule type="containsText" dxfId="4287" priority="1210" stopIfTrue="1" operator="containsText" text="BAJO">
      <formula>NOT(ISERROR(SEARCH("BAJO",S127)))</formula>
    </cfRule>
    <cfRule type="containsText" dxfId="4286" priority="1211" stopIfTrue="1" operator="containsText" text="SIN RIESGO">
      <formula>NOT(ISERROR(SEARCH("SIN RIESGO",S127)))</formula>
    </cfRule>
  </conditionalFormatting>
  <conditionalFormatting sqref="S127:S128 S102:S124 S12:S62">
    <cfRule type="containsText" dxfId="4285" priority="1206" stopIfTrue="1" operator="containsText" text="SIN RIESGO">
      <formula>NOT(ISERROR(SEARCH("SIN RIESGO",S12)))</formula>
    </cfRule>
  </conditionalFormatting>
  <conditionalFormatting sqref="E13:P13">
    <cfRule type="containsBlanks" dxfId="4284" priority="1199" stopIfTrue="1">
      <formula>LEN(TRIM(E13))=0</formula>
    </cfRule>
    <cfRule type="cellIs" dxfId="4283" priority="1200" stopIfTrue="1" operator="between">
      <formula>80.1</formula>
      <formula>100</formula>
    </cfRule>
    <cfRule type="cellIs" dxfId="4282" priority="1201" stopIfTrue="1" operator="between">
      <formula>35.1</formula>
      <formula>80</formula>
    </cfRule>
    <cfRule type="cellIs" dxfId="4281" priority="1202" stopIfTrue="1" operator="between">
      <formula>14.1</formula>
      <formula>35</formula>
    </cfRule>
    <cfRule type="cellIs" dxfId="4280" priority="1203" stopIfTrue="1" operator="between">
      <formula>5.1</formula>
      <formula>14</formula>
    </cfRule>
    <cfRule type="cellIs" dxfId="4279" priority="1204" stopIfTrue="1" operator="between">
      <formula>0</formula>
      <formula>5</formula>
    </cfRule>
    <cfRule type="containsBlanks" dxfId="4278" priority="1205" stopIfTrue="1">
      <formula>LEN(TRIM(E13))=0</formula>
    </cfRule>
  </conditionalFormatting>
  <conditionalFormatting sqref="E29:H29 J29">
    <cfRule type="containsBlanks" dxfId="4277" priority="1058" stopIfTrue="1">
      <formula>LEN(TRIM(E29))=0</formula>
    </cfRule>
    <cfRule type="cellIs" dxfId="4276" priority="1059" stopIfTrue="1" operator="between">
      <formula>79.1</formula>
      <formula>100</formula>
    </cfRule>
    <cfRule type="cellIs" dxfId="4275" priority="1060" stopIfTrue="1" operator="between">
      <formula>34.1</formula>
      <formula>79</formula>
    </cfRule>
    <cfRule type="cellIs" dxfId="4274" priority="1061" stopIfTrue="1" operator="between">
      <formula>13.1</formula>
      <formula>34</formula>
    </cfRule>
    <cfRule type="cellIs" dxfId="4273" priority="1062" stopIfTrue="1" operator="between">
      <formula>5.1</formula>
      <formula>13</formula>
    </cfRule>
    <cfRule type="cellIs" dxfId="4272" priority="1063" stopIfTrue="1" operator="between">
      <formula>0</formula>
      <formula>5</formula>
    </cfRule>
    <cfRule type="containsBlanks" dxfId="4271" priority="1064" stopIfTrue="1">
      <formula>LEN(TRIM(E29))=0</formula>
    </cfRule>
  </conditionalFormatting>
  <conditionalFormatting sqref="I29">
    <cfRule type="containsBlanks" dxfId="4270" priority="1051" stopIfTrue="1">
      <formula>LEN(TRIM(I29))=0</formula>
    </cfRule>
    <cfRule type="cellIs" dxfId="4269" priority="1052" stopIfTrue="1" operator="between">
      <formula>79.1</formula>
      <formula>100</formula>
    </cfRule>
    <cfRule type="cellIs" dxfId="4268" priority="1053" stopIfTrue="1" operator="between">
      <formula>34.1</formula>
      <formula>79</formula>
    </cfRule>
    <cfRule type="cellIs" dxfId="4267" priority="1054" stopIfTrue="1" operator="between">
      <formula>13.1</formula>
      <formula>34</formula>
    </cfRule>
    <cfRule type="cellIs" dxfId="4266" priority="1055" stopIfTrue="1" operator="between">
      <formula>5.1</formula>
      <formula>13</formula>
    </cfRule>
    <cfRule type="cellIs" dxfId="4265" priority="1056" stopIfTrue="1" operator="between">
      <formula>0</formula>
      <formula>5</formula>
    </cfRule>
    <cfRule type="containsBlanks" dxfId="4264" priority="1057" stopIfTrue="1">
      <formula>LEN(TRIM(I29))=0</formula>
    </cfRule>
  </conditionalFormatting>
  <conditionalFormatting sqref="E26:F26">
    <cfRule type="containsBlanks" dxfId="4263" priority="974" stopIfTrue="1">
      <formula>LEN(TRIM(E26))=0</formula>
    </cfRule>
    <cfRule type="cellIs" dxfId="4262" priority="975" stopIfTrue="1" operator="between">
      <formula>79.1</formula>
      <formula>100</formula>
    </cfRule>
    <cfRule type="cellIs" dxfId="4261" priority="976" stopIfTrue="1" operator="between">
      <formula>34.1</formula>
      <formula>79</formula>
    </cfRule>
    <cfRule type="cellIs" dxfId="4260" priority="977" stopIfTrue="1" operator="between">
      <formula>13.1</formula>
      <formula>34</formula>
    </cfRule>
    <cfRule type="cellIs" dxfId="4259" priority="978" stopIfTrue="1" operator="between">
      <formula>5.1</formula>
      <formula>13</formula>
    </cfRule>
    <cfRule type="cellIs" dxfId="4258" priority="979" stopIfTrue="1" operator="between">
      <formula>0</formula>
      <formula>5</formula>
    </cfRule>
    <cfRule type="containsBlanks" dxfId="4257" priority="980" stopIfTrue="1">
      <formula>LEN(TRIM(E26))=0</formula>
    </cfRule>
  </conditionalFormatting>
  <conditionalFormatting sqref="E28:L28 N28">
    <cfRule type="containsBlanks" dxfId="4256" priority="1030" stopIfTrue="1">
      <formula>LEN(TRIM(E28))=0</formula>
    </cfRule>
    <cfRule type="cellIs" dxfId="4255" priority="1031" stopIfTrue="1" operator="between">
      <formula>79.1</formula>
      <formula>100</formula>
    </cfRule>
    <cfRule type="cellIs" dxfId="4254" priority="1032" stopIfTrue="1" operator="between">
      <formula>34.1</formula>
      <formula>79</formula>
    </cfRule>
    <cfRule type="cellIs" dxfId="4253" priority="1033" stopIfTrue="1" operator="between">
      <formula>13.1</formula>
      <formula>34</formula>
    </cfRule>
    <cfRule type="cellIs" dxfId="4252" priority="1034" stopIfTrue="1" operator="between">
      <formula>5.1</formula>
      <formula>13</formula>
    </cfRule>
    <cfRule type="cellIs" dxfId="4251" priority="1035" stopIfTrue="1" operator="between">
      <formula>0</formula>
      <formula>5</formula>
    </cfRule>
    <cfRule type="containsBlanks" dxfId="4250" priority="1036" stopIfTrue="1">
      <formula>LEN(TRIM(E28))=0</formula>
    </cfRule>
  </conditionalFormatting>
  <conditionalFormatting sqref="M28">
    <cfRule type="containsBlanks" dxfId="4249" priority="1023" stopIfTrue="1">
      <formula>LEN(TRIM(M28))=0</formula>
    </cfRule>
    <cfRule type="cellIs" dxfId="4248" priority="1024" stopIfTrue="1" operator="between">
      <formula>79.1</formula>
      <formula>100</formula>
    </cfRule>
    <cfRule type="cellIs" dxfId="4247" priority="1025" stopIfTrue="1" operator="between">
      <formula>34.1</formula>
      <formula>79</formula>
    </cfRule>
    <cfRule type="cellIs" dxfId="4246" priority="1026" stopIfTrue="1" operator="between">
      <formula>13.1</formula>
      <formula>34</formula>
    </cfRule>
    <cfRule type="cellIs" dxfId="4245" priority="1027" stopIfTrue="1" operator="between">
      <formula>5.1</formula>
      <formula>13</formula>
    </cfRule>
    <cfRule type="cellIs" dxfId="4244" priority="1028" stopIfTrue="1" operator="between">
      <formula>0</formula>
      <formula>5</formula>
    </cfRule>
    <cfRule type="containsBlanks" dxfId="4243" priority="1029" stopIfTrue="1">
      <formula>LEN(TRIM(M28))=0</formula>
    </cfRule>
  </conditionalFormatting>
  <conditionalFormatting sqref="E27:G27">
    <cfRule type="containsBlanks" dxfId="4242" priority="1009" stopIfTrue="1">
      <formula>LEN(TRIM(E27))=0</formula>
    </cfRule>
    <cfRule type="cellIs" dxfId="4241" priority="1010" stopIfTrue="1" operator="between">
      <formula>79.1</formula>
      <formula>100</formula>
    </cfRule>
    <cfRule type="cellIs" dxfId="4240" priority="1011" stopIfTrue="1" operator="between">
      <formula>34.1</formula>
      <formula>79</formula>
    </cfRule>
    <cfRule type="cellIs" dxfId="4239" priority="1012" stopIfTrue="1" operator="between">
      <formula>13.1</formula>
      <formula>34</formula>
    </cfRule>
    <cfRule type="cellIs" dxfId="4238" priority="1013" stopIfTrue="1" operator="between">
      <formula>5.1</formula>
      <formula>13</formula>
    </cfRule>
    <cfRule type="cellIs" dxfId="4237" priority="1014" stopIfTrue="1" operator="between">
      <formula>0</formula>
      <formula>5</formula>
    </cfRule>
    <cfRule type="containsBlanks" dxfId="4236" priority="1015" stopIfTrue="1">
      <formula>LEN(TRIM(E27))=0</formula>
    </cfRule>
  </conditionalFormatting>
  <conditionalFormatting sqref="E64:P64 E68:P69">
    <cfRule type="containsBlanks" dxfId="4235" priority="911" stopIfTrue="1">
      <formula>LEN(TRIM(E64))=0</formula>
    </cfRule>
    <cfRule type="cellIs" dxfId="4234" priority="912" stopIfTrue="1" operator="between">
      <formula>79.1</formula>
      <formula>100</formula>
    </cfRule>
    <cfRule type="cellIs" dxfId="4233" priority="913" stopIfTrue="1" operator="between">
      <formula>34.1</formula>
      <formula>79</formula>
    </cfRule>
    <cfRule type="cellIs" dxfId="4232" priority="914" stopIfTrue="1" operator="between">
      <formula>13.1</formula>
      <formula>34</formula>
    </cfRule>
    <cfRule type="cellIs" dxfId="4231" priority="915" stopIfTrue="1" operator="between">
      <formula>5.1</formula>
      <formula>13</formula>
    </cfRule>
    <cfRule type="cellIs" dxfId="4230" priority="916" stopIfTrue="1" operator="between">
      <formula>0</formula>
      <formula>5</formula>
    </cfRule>
    <cfRule type="containsBlanks" dxfId="4229" priority="917" stopIfTrue="1">
      <formula>LEN(TRIM(E64))=0</formula>
    </cfRule>
  </conditionalFormatting>
  <conditionalFormatting sqref="E107:P109">
    <cfRule type="containsBlanks" dxfId="4228" priority="820" stopIfTrue="1">
      <formula>LEN(TRIM(E107))=0</formula>
    </cfRule>
    <cfRule type="cellIs" dxfId="4227" priority="821" stopIfTrue="1" operator="between">
      <formula>79.1</formula>
      <formula>100</formula>
    </cfRule>
    <cfRule type="cellIs" dxfId="4226" priority="822" stopIfTrue="1" operator="between">
      <formula>34.1</formula>
      <formula>79</formula>
    </cfRule>
    <cfRule type="cellIs" dxfId="4225" priority="823" stopIfTrue="1" operator="between">
      <formula>13.1</formula>
      <formula>34</formula>
    </cfRule>
    <cfRule type="cellIs" dxfId="4224" priority="824" stopIfTrue="1" operator="between">
      <formula>5.1</formula>
      <formula>13</formula>
    </cfRule>
    <cfRule type="cellIs" dxfId="4223" priority="825" stopIfTrue="1" operator="between">
      <formula>0</formula>
      <formula>5</formula>
    </cfRule>
    <cfRule type="containsBlanks" dxfId="4222" priority="826" stopIfTrue="1">
      <formula>LEN(TRIM(E107))=0</formula>
    </cfRule>
  </conditionalFormatting>
  <conditionalFormatting sqref="E102:N102">
    <cfRule type="containsBlanks" dxfId="4221" priority="827" stopIfTrue="1">
      <formula>LEN(TRIM(E102))=0</formula>
    </cfRule>
    <cfRule type="cellIs" dxfId="4220" priority="828" stopIfTrue="1" operator="between">
      <formula>79.1</formula>
      <formula>100</formula>
    </cfRule>
    <cfRule type="cellIs" dxfId="4219" priority="829" stopIfTrue="1" operator="between">
      <formula>34.1</formula>
      <formula>79</formula>
    </cfRule>
    <cfRule type="cellIs" dxfId="4218" priority="830" stopIfTrue="1" operator="between">
      <formula>13.1</formula>
      <formula>34</formula>
    </cfRule>
    <cfRule type="cellIs" dxfId="4217" priority="831" stopIfTrue="1" operator="between">
      <formula>5.1</formula>
      <formula>13</formula>
    </cfRule>
    <cfRule type="cellIs" dxfId="4216" priority="832" stopIfTrue="1" operator="between">
      <formula>0</formula>
      <formula>5</formula>
    </cfRule>
    <cfRule type="containsBlanks" dxfId="4215" priority="833" stopIfTrue="1">
      <formula>LEN(TRIM(E102))=0</formula>
    </cfRule>
  </conditionalFormatting>
  <conditionalFormatting sqref="E90:M90">
    <cfRule type="containsBlanks" dxfId="4214" priority="841" stopIfTrue="1">
      <formula>LEN(TRIM(E90))=0</formula>
    </cfRule>
    <cfRule type="cellIs" dxfId="4213" priority="842" stopIfTrue="1" operator="between">
      <formula>79.1</formula>
      <formula>100</formula>
    </cfRule>
    <cfRule type="cellIs" dxfId="4212" priority="843" stopIfTrue="1" operator="between">
      <formula>34.1</formula>
      <formula>79</formula>
    </cfRule>
    <cfRule type="cellIs" dxfId="4211" priority="844" stopIfTrue="1" operator="between">
      <formula>13.1</formula>
      <formula>34</formula>
    </cfRule>
    <cfRule type="cellIs" dxfId="4210" priority="845" stopIfTrue="1" operator="between">
      <formula>5.1</formula>
      <formula>13</formula>
    </cfRule>
    <cfRule type="cellIs" dxfId="4209" priority="846" stopIfTrue="1" operator="between">
      <formula>0</formula>
      <formula>5</formula>
    </cfRule>
    <cfRule type="containsBlanks" dxfId="4208" priority="847" stopIfTrue="1">
      <formula>LEN(TRIM(E90))=0</formula>
    </cfRule>
  </conditionalFormatting>
  <conditionalFormatting sqref="Q114">
    <cfRule type="containsBlanks" dxfId="4207" priority="804" stopIfTrue="1">
      <formula>LEN(TRIM(Q114))=0</formula>
    </cfRule>
    <cfRule type="cellIs" dxfId="4206" priority="805" stopIfTrue="1" operator="between">
      <formula>80.1</formula>
      <formula>100</formula>
    </cfRule>
    <cfRule type="cellIs" dxfId="4205" priority="806" stopIfTrue="1" operator="between">
      <formula>35.1</formula>
      <formula>80</formula>
    </cfRule>
    <cfRule type="cellIs" dxfId="4204" priority="807" stopIfTrue="1" operator="between">
      <formula>14.1</formula>
      <formula>35</formula>
    </cfRule>
    <cfRule type="cellIs" dxfId="4203" priority="808" stopIfTrue="1" operator="between">
      <formula>5.1</formula>
      <formula>14</formula>
    </cfRule>
    <cfRule type="cellIs" dxfId="4202" priority="809" stopIfTrue="1" operator="between">
      <formula>0</formula>
      <formula>5</formula>
    </cfRule>
    <cfRule type="containsBlanks" dxfId="4201" priority="810" stopIfTrue="1">
      <formula>LEN(TRIM(Q114))=0</formula>
    </cfRule>
  </conditionalFormatting>
  <conditionalFormatting sqref="S127:S128 S102:S124 S12:S62">
    <cfRule type="containsText" dxfId="4200" priority="777" stopIfTrue="1" operator="containsText" text="INVIABLE SANITARIAMENTE">
      <formula>NOT(ISERROR(SEARCH("INVIABLE SANITARIAMENTE",S12)))</formula>
    </cfRule>
    <cfRule type="containsText" dxfId="4199" priority="778" stopIfTrue="1" operator="containsText" text="ALTO">
      <formula>NOT(ISERROR(SEARCH("ALTO",S12)))</formula>
    </cfRule>
    <cfRule type="containsText" dxfId="4198" priority="779" stopIfTrue="1" operator="containsText" text="MEDIO">
      <formula>NOT(ISERROR(SEARCH("MEDIO",S12)))</formula>
    </cfRule>
    <cfRule type="containsText" dxfId="4197" priority="780" stopIfTrue="1" operator="containsText" text="BAJO">
      <formula>NOT(ISERROR(SEARCH("BAJO",S12)))</formula>
    </cfRule>
    <cfRule type="containsText" dxfId="4196" priority="781" stopIfTrue="1" operator="containsText" text="SIN RIESGO">
      <formula>NOT(ISERROR(SEARCH("SIN RIESGO",S12)))</formula>
    </cfRule>
  </conditionalFormatting>
  <conditionalFormatting sqref="R127:S128 R114:R124 R126">
    <cfRule type="containsBlanks" dxfId="4195" priority="769" stopIfTrue="1">
      <formula>LEN(TRIM(R114))=0</formula>
    </cfRule>
    <cfRule type="cellIs" dxfId="4194" priority="770" stopIfTrue="1" operator="between">
      <formula>80.1</formula>
      <formula>100</formula>
    </cfRule>
    <cfRule type="cellIs" dxfId="4193" priority="771" stopIfTrue="1" operator="between">
      <formula>35.1</formula>
      <formula>80</formula>
    </cfRule>
    <cfRule type="cellIs" dxfId="4192" priority="772" stopIfTrue="1" operator="between">
      <formula>14.1</formula>
      <formula>35</formula>
    </cfRule>
    <cfRule type="cellIs" dxfId="4191" priority="773" stopIfTrue="1" operator="between">
      <formula>5.1</formula>
      <formula>14</formula>
    </cfRule>
    <cfRule type="cellIs" dxfId="4190" priority="774" stopIfTrue="1" operator="between">
      <formula>0</formula>
      <formula>5</formula>
    </cfRule>
    <cfRule type="containsBlanks" dxfId="4189" priority="775" stopIfTrue="1">
      <formula>LEN(TRIM(R114))=0</formula>
    </cfRule>
  </conditionalFormatting>
  <conditionalFormatting sqref="R115">
    <cfRule type="containsBlanks" dxfId="4188" priority="762" stopIfTrue="1">
      <formula>LEN(TRIM(R115))=0</formula>
    </cfRule>
    <cfRule type="cellIs" dxfId="4187" priority="763" stopIfTrue="1" operator="between">
      <formula>80.1</formula>
      <formula>100</formula>
    </cfRule>
    <cfRule type="cellIs" dxfId="4186" priority="764" stopIfTrue="1" operator="between">
      <formula>35.1</formula>
      <formula>80</formula>
    </cfRule>
    <cfRule type="cellIs" dxfId="4185" priority="765" stopIfTrue="1" operator="between">
      <formula>14.1</formula>
      <formula>35</formula>
    </cfRule>
    <cfRule type="cellIs" dxfId="4184" priority="766" stopIfTrue="1" operator="between">
      <formula>5.1</formula>
      <formula>14</formula>
    </cfRule>
    <cfRule type="cellIs" dxfId="4183" priority="767" stopIfTrue="1" operator="between">
      <formula>0</formula>
      <formula>5</formula>
    </cfRule>
    <cfRule type="containsBlanks" dxfId="4182" priority="768" stopIfTrue="1">
      <formula>LEN(TRIM(R115))=0</formula>
    </cfRule>
  </conditionalFormatting>
  <conditionalFormatting sqref="S64:S98 S126">
    <cfRule type="cellIs" dxfId="4181" priority="731" stopIfTrue="1" operator="equal">
      <formula>"INVIABLE SANITARIAMENTE"</formula>
    </cfRule>
  </conditionalFormatting>
  <conditionalFormatting sqref="S64:S98 S126">
    <cfRule type="containsText" dxfId="4180" priority="726" stopIfTrue="1" operator="containsText" text="INVIABLE SANITARIAMENTE">
      <formula>NOT(ISERROR(SEARCH("INVIABLE SANITARIAMENTE",S64)))</formula>
    </cfRule>
    <cfRule type="containsText" dxfId="4179" priority="727" stopIfTrue="1" operator="containsText" text="ALTO">
      <formula>NOT(ISERROR(SEARCH("ALTO",S64)))</formula>
    </cfRule>
    <cfRule type="containsText" dxfId="4178" priority="728" stopIfTrue="1" operator="containsText" text="MEDIO">
      <formula>NOT(ISERROR(SEARCH("MEDIO",S64)))</formula>
    </cfRule>
    <cfRule type="containsText" dxfId="4177" priority="729" stopIfTrue="1" operator="containsText" text="BAJO">
      <formula>NOT(ISERROR(SEARCH("BAJO",S64)))</formula>
    </cfRule>
    <cfRule type="containsText" dxfId="4176" priority="730" stopIfTrue="1" operator="containsText" text="SIN RIESGO">
      <formula>NOT(ISERROR(SEARCH("SIN RIESGO",S64)))</formula>
    </cfRule>
  </conditionalFormatting>
  <conditionalFormatting sqref="S64:S98 S126">
    <cfRule type="containsText" dxfId="4175" priority="725" stopIfTrue="1" operator="containsText" text="SIN RIESGO">
      <formula>NOT(ISERROR(SEARCH("SIN RIESGO",S64)))</formula>
    </cfRule>
  </conditionalFormatting>
  <conditionalFormatting sqref="Q63">
    <cfRule type="containsBlanks" dxfId="4174" priority="718" stopIfTrue="1">
      <formula>LEN(TRIM(Q63))=0</formula>
    </cfRule>
    <cfRule type="cellIs" dxfId="4173" priority="719" stopIfTrue="1" operator="between">
      <formula>80.1</formula>
      <formula>100</formula>
    </cfRule>
    <cfRule type="cellIs" dxfId="4172" priority="720" stopIfTrue="1" operator="between">
      <formula>35.1</formula>
      <formula>80</formula>
    </cfRule>
    <cfRule type="cellIs" dxfId="4171" priority="721" stopIfTrue="1" operator="between">
      <formula>14.1</formula>
      <formula>35</formula>
    </cfRule>
    <cfRule type="cellIs" dxfId="4170" priority="722" stopIfTrue="1" operator="between">
      <formula>5.1</formula>
      <formula>14</formula>
    </cfRule>
    <cfRule type="cellIs" dxfId="4169" priority="723" stopIfTrue="1" operator="between">
      <formula>0</formula>
      <formula>5</formula>
    </cfRule>
    <cfRule type="containsBlanks" dxfId="4168" priority="724" stopIfTrue="1">
      <formula>LEN(TRIM(Q63))=0</formula>
    </cfRule>
  </conditionalFormatting>
  <conditionalFormatting sqref="R63">
    <cfRule type="cellIs" dxfId="4167" priority="717" stopIfTrue="1" operator="equal">
      <formula>"NO"</formula>
    </cfRule>
  </conditionalFormatting>
  <conditionalFormatting sqref="S63">
    <cfRule type="cellIs" dxfId="4166" priority="709" stopIfTrue="1" operator="equal">
      <formula>"INVIABLE SANITARIAMENTE"</formula>
    </cfRule>
  </conditionalFormatting>
  <conditionalFormatting sqref="S63">
    <cfRule type="containsText" dxfId="4165" priority="704" stopIfTrue="1" operator="containsText" text="INVIABLE SANITARIAMENTE">
      <formula>NOT(ISERROR(SEARCH("INVIABLE SANITARIAMENTE",S63)))</formula>
    </cfRule>
    <cfRule type="containsText" dxfId="4164" priority="705" stopIfTrue="1" operator="containsText" text="ALTO">
      <formula>NOT(ISERROR(SEARCH("ALTO",S63)))</formula>
    </cfRule>
    <cfRule type="containsText" dxfId="4163" priority="706" stopIfTrue="1" operator="containsText" text="MEDIO">
      <formula>NOT(ISERROR(SEARCH("MEDIO",S63)))</formula>
    </cfRule>
    <cfRule type="containsText" dxfId="4162" priority="707" stopIfTrue="1" operator="containsText" text="BAJO">
      <formula>NOT(ISERROR(SEARCH("BAJO",S63)))</formula>
    </cfRule>
    <cfRule type="containsText" dxfId="4161" priority="708" stopIfTrue="1" operator="containsText" text="SIN RIESGO">
      <formula>NOT(ISERROR(SEARCH("SIN RIESGO",S63)))</formula>
    </cfRule>
  </conditionalFormatting>
  <conditionalFormatting sqref="S63">
    <cfRule type="containsText" dxfId="4160" priority="703" stopIfTrue="1" operator="containsText" text="SIN RIESGO">
      <formula>NOT(ISERROR(SEARCH("SIN RIESGO",S63)))</formula>
    </cfRule>
  </conditionalFormatting>
  <conditionalFormatting sqref="Q125">
    <cfRule type="containsBlanks" dxfId="4159" priority="696" stopIfTrue="1">
      <formula>LEN(TRIM(Q125))=0</formula>
    </cfRule>
    <cfRule type="cellIs" dxfId="4158" priority="697" stopIfTrue="1" operator="between">
      <formula>80.1</formula>
      <formula>100</formula>
    </cfRule>
    <cfRule type="cellIs" dxfId="4157" priority="698" stopIfTrue="1" operator="between">
      <formula>35.1</formula>
      <formula>80</formula>
    </cfRule>
    <cfRule type="cellIs" dxfId="4156" priority="699" stopIfTrue="1" operator="between">
      <formula>14.1</formula>
      <formula>35</formula>
    </cfRule>
    <cfRule type="cellIs" dxfId="4155" priority="700" stopIfTrue="1" operator="between">
      <formula>5.1</formula>
      <formula>14</formula>
    </cfRule>
    <cfRule type="cellIs" dxfId="4154" priority="701" stopIfTrue="1" operator="between">
      <formula>0</formula>
      <formula>5</formula>
    </cfRule>
    <cfRule type="containsBlanks" dxfId="4153" priority="702" stopIfTrue="1">
      <formula>LEN(TRIM(Q125))=0</formula>
    </cfRule>
  </conditionalFormatting>
  <conditionalFormatting sqref="R125">
    <cfRule type="cellIs" dxfId="4152" priority="695" stopIfTrue="1" operator="equal">
      <formula>"NO"</formula>
    </cfRule>
  </conditionalFormatting>
  <conditionalFormatting sqref="R125">
    <cfRule type="containsBlanks" dxfId="4151" priority="688" stopIfTrue="1">
      <formula>LEN(TRIM(R125))=0</formula>
    </cfRule>
    <cfRule type="cellIs" dxfId="4150" priority="689" stopIfTrue="1" operator="between">
      <formula>80.1</formula>
      <formula>100</formula>
    </cfRule>
    <cfRule type="cellIs" dxfId="4149" priority="690" stopIfTrue="1" operator="between">
      <formula>35.1</formula>
      <formula>80</formula>
    </cfRule>
    <cfRule type="cellIs" dxfId="4148" priority="691" stopIfTrue="1" operator="between">
      <formula>14.1</formula>
      <formula>35</formula>
    </cfRule>
    <cfRule type="cellIs" dxfId="4147" priority="692" stopIfTrue="1" operator="between">
      <formula>5.1</formula>
      <formula>14</formula>
    </cfRule>
    <cfRule type="cellIs" dxfId="4146" priority="693" stopIfTrue="1" operator="between">
      <formula>0</formula>
      <formula>5</formula>
    </cfRule>
    <cfRule type="containsBlanks" dxfId="4145" priority="694" stopIfTrue="1">
      <formula>LEN(TRIM(R125))=0</formula>
    </cfRule>
  </conditionalFormatting>
  <conditionalFormatting sqref="S125">
    <cfRule type="cellIs" dxfId="4144" priority="687" stopIfTrue="1" operator="equal">
      <formula>"INVIABLE SANITARIAMENTE"</formula>
    </cfRule>
  </conditionalFormatting>
  <conditionalFormatting sqref="S125">
    <cfRule type="containsText" dxfId="4143" priority="682" stopIfTrue="1" operator="containsText" text="INVIABLE SANITARIAMENTE">
      <formula>NOT(ISERROR(SEARCH("INVIABLE SANITARIAMENTE",S125)))</formula>
    </cfRule>
    <cfRule type="containsText" dxfId="4142" priority="683" stopIfTrue="1" operator="containsText" text="ALTO">
      <formula>NOT(ISERROR(SEARCH("ALTO",S125)))</formula>
    </cfRule>
    <cfRule type="containsText" dxfId="4141" priority="684" stopIfTrue="1" operator="containsText" text="MEDIO">
      <formula>NOT(ISERROR(SEARCH("MEDIO",S125)))</formula>
    </cfRule>
    <cfRule type="containsText" dxfId="4140" priority="685" stopIfTrue="1" operator="containsText" text="BAJO">
      <formula>NOT(ISERROR(SEARCH("BAJO",S125)))</formula>
    </cfRule>
    <cfRule type="containsText" dxfId="4139" priority="686" stopIfTrue="1" operator="containsText" text="SIN RIESGO">
      <formula>NOT(ISERROR(SEARCH("SIN RIESGO",S125)))</formula>
    </cfRule>
  </conditionalFormatting>
  <conditionalFormatting sqref="S125">
    <cfRule type="containsText" dxfId="4138" priority="681" stopIfTrue="1" operator="containsText" text="SIN RIESGO">
      <formula>NOT(ISERROR(SEARCH("SIN RIESGO",S125)))</formula>
    </cfRule>
  </conditionalFormatting>
  <conditionalFormatting sqref="E95:P98">
    <cfRule type="containsBlanks" dxfId="4137" priority="562" stopIfTrue="1">
      <formula>LEN(TRIM(E95))=0</formula>
    </cfRule>
    <cfRule type="cellIs" dxfId="4136" priority="563" stopIfTrue="1" operator="between">
      <formula>80.1</formula>
      <formula>100</formula>
    </cfRule>
    <cfRule type="cellIs" dxfId="4135" priority="564" stopIfTrue="1" operator="between">
      <formula>35.1</formula>
      <formula>80</formula>
    </cfRule>
    <cfRule type="cellIs" dxfId="4134" priority="565" stopIfTrue="1" operator="between">
      <formula>14.1</formula>
      <formula>35</formula>
    </cfRule>
    <cfRule type="cellIs" dxfId="4133" priority="566" stopIfTrue="1" operator="between">
      <formula>5.1</formula>
      <formula>14</formula>
    </cfRule>
    <cfRule type="cellIs" dxfId="4132" priority="567" stopIfTrue="1" operator="between">
      <formula>0</formula>
      <formula>5</formula>
    </cfRule>
    <cfRule type="containsBlanks" dxfId="4131" priority="568" stopIfTrue="1">
      <formula>LEN(TRIM(E95))=0</formula>
    </cfRule>
  </conditionalFormatting>
  <conditionalFormatting sqref="E18:P18">
    <cfRule type="containsBlanks" dxfId="4130" priority="674" stopIfTrue="1">
      <formula>LEN(TRIM(E18))=0</formula>
    </cfRule>
    <cfRule type="cellIs" dxfId="4129" priority="675" stopIfTrue="1" operator="between">
      <formula>80.1</formula>
      <formula>100</formula>
    </cfRule>
    <cfRule type="cellIs" dxfId="4128" priority="676" stopIfTrue="1" operator="between">
      <formula>35.1</formula>
      <formula>80</formula>
    </cfRule>
    <cfRule type="cellIs" dxfId="4127" priority="677" stopIfTrue="1" operator="between">
      <formula>14.1</formula>
      <formula>35</formula>
    </cfRule>
    <cfRule type="cellIs" dxfId="4126" priority="678" stopIfTrue="1" operator="between">
      <formula>5.1</formula>
      <formula>14</formula>
    </cfRule>
    <cfRule type="cellIs" dxfId="4125" priority="679" stopIfTrue="1" operator="between">
      <formula>0</formula>
      <formula>5</formula>
    </cfRule>
    <cfRule type="containsBlanks" dxfId="4124" priority="680" stopIfTrue="1">
      <formula>LEN(TRIM(E18))=0</formula>
    </cfRule>
  </conditionalFormatting>
  <conditionalFormatting sqref="E19:P19">
    <cfRule type="containsBlanks" dxfId="4123" priority="667" stopIfTrue="1">
      <formula>LEN(TRIM(E19))=0</formula>
    </cfRule>
    <cfRule type="cellIs" dxfId="4122" priority="668" stopIfTrue="1" operator="between">
      <formula>80.1</formula>
      <formula>100</formula>
    </cfRule>
    <cfRule type="cellIs" dxfId="4121" priority="669" stopIfTrue="1" operator="between">
      <formula>35.1</formula>
      <formula>80</formula>
    </cfRule>
    <cfRule type="cellIs" dxfId="4120" priority="670" stopIfTrue="1" operator="between">
      <formula>14.1</formula>
      <formula>35</formula>
    </cfRule>
    <cfRule type="cellIs" dxfId="4119" priority="671" stopIfTrue="1" operator="between">
      <formula>5.1</formula>
      <formula>14</formula>
    </cfRule>
    <cfRule type="cellIs" dxfId="4118" priority="672" stopIfTrue="1" operator="between">
      <formula>0</formula>
      <formula>5</formula>
    </cfRule>
    <cfRule type="containsBlanks" dxfId="4117" priority="673" stopIfTrue="1">
      <formula>LEN(TRIM(E19))=0</formula>
    </cfRule>
  </conditionalFormatting>
  <conditionalFormatting sqref="E23:P23 J21:P21 H22:P22">
    <cfRule type="containsBlanks" dxfId="4116" priority="660" stopIfTrue="1">
      <formula>LEN(TRIM(E21))=0</formula>
    </cfRule>
    <cfRule type="cellIs" dxfId="4115" priority="661" stopIfTrue="1" operator="between">
      <formula>80.1</formula>
      <formula>100</formula>
    </cfRule>
    <cfRule type="cellIs" dxfId="4114" priority="662" stopIfTrue="1" operator="between">
      <formula>35.1</formula>
      <formula>80</formula>
    </cfRule>
    <cfRule type="cellIs" dxfId="4113" priority="663" stopIfTrue="1" operator="between">
      <formula>14.1</formula>
      <formula>35</formula>
    </cfRule>
    <cfRule type="cellIs" dxfId="4112" priority="664" stopIfTrue="1" operator="between">
      <formula>5.1</formula>
      <formula>14</formula>
    </cfRule>
    <cfRule type="cellIs" dxfId="4111" priority="665" stopIfTrue="1" operator="between">
      <formula>0</formula>
      <formula>5</formula>
    </cfRule>
    <cfRule type="containsBlanks" dxfId="4110" priority="666" stopIfTrue="1">
      <formula>LEN(TRIM(E21))=0</formula>
    </cfRule>
  </conditionalFormatting>
  <conditionalFormatting sqref="E21:I21">
    <cfRule type="containsBlanks" dxfId="4109" priority="653" stopIfTrue="1">
      <formula>LEN(TRIM(E21))=0</formula>
    </cfRule>
    <cfRule type="cellIs" dxfId="4108" priority="654" stopIfTrue="1" operator="between">
      <formula>80.1</formula>
      <formula>100</formula>
    </cfRule>
    <cfRule type="cellIs" dxfId="4107" priority="655" stopIfTrue="1" operator="between">
      <formula>35.1</formula>
      <formula>80</formula>
    </cfRule>
    <cfRule type="cellIs" dxfId="4106" priority="656" stopIfTrue="1" operator="between">
      <formula>14.1</formula>
      <formula>35</formula>
    </cfRule>
    <cfRule type="cellIs" dxfId="4105" priority="657" stopIfTrue="1" operator="between">
      <formula>5.1</formula>
      <formula>14</formula>
    </cfRule>
    <cfRule type="cellIs" dxfId="4104" priority="658" stopIfTrue="1" operator="between">
      <formula>0</formula>
      <formula>5</formula>
    </cfRule>
    <cfRule type="containsBlanks" dxfId="4103" priority="659" stopIfTrue="1">
      <formula>LEN(TRIM(E21))=0</formula>
    </cfRule>
  </conditionalFormatting>
  <conditionalFormatting sqref="E22:G22">
    <cfRule type="containsBlanks" dxfId="4102" priority="646" stopIfTrue="1">
      <formula>LEN(TRIM(E22))=0</formula>
    </cfRule>
    <cfRule type="cellIs" dxfId="4101" priority="647" stopIfTrue="1" operator="between">
      <formula>80.1</formula>
      <formula>100</formula>
    </cfRule>
    <cfRule type="cellIs" dxfId="4100" priority="648" stopIfTrue="1" operator="between">
      <formula>35.1</formula>
      <formula>80</formula>
    </cfRule>
    <cfRule type="cellIs" dxfId="4099" priority="649" stopIfTrue="1" operator="between">
      <formula>14.1</formula>
      <formula>35</formula>
    </cfRule>
    <cfRule type="cellIs" dxfId="4098" priority="650" stopIfTrue="1" operator="between">
      <formula>5.1</formula>
      <formula>14</formula>
    </cfRule>
    <cfRule type="cellIs" dxfId="4097" priority="651" stopIfTrue="1" operator="between">
      <formula>0</formula>
      <formula>5</formula>
    </cfRule>
    <cfRule type="containsBlanks" dxfId="4096" priority="652" stopIfTrue="1">
      <formula>LEN(TRIM(E22))=0</formula>
    </cfRule>
  </conditionalFormatting>
  <conditionalFormatting sqref="E24:P25">
    <cfRule type="containsBlanks" dxfId="4095" priority="639" stopIfTrue="1">
      <formula>LEN(TRIM(E24))=0</formula>
    </cfRule>
    <cfRule type="cellIs" dxfId="4094" priority="640" stopIfTrue="1" operator="between">
      <formula>80.1</formula>
      <formula>100</formula>
    </cfRule>
    <cfRule type="cellIs" dxfId="4093" priority="641" stopIfTrue="1" operator="between">
      <formula>35.1</formula>
      <formula>80</formula>
    </cfRule>
    <cfRule type="cellIs" dxfId="4092" priority="642" stopIfTrue="1" operator="between">
      <formula>14.1</formula>
      <formula>35</formula>
    </cfRule>
    <cfRule type="cellIs" dxfId="4091" priority="643" stopIfTrue="1" operator="between">
      <formula>5.1</formula>
      <formula>14</formula>
    </cfRule>
    <cfRule type="cellIs" dxfId="4090" priority="644" stopIfTrue="1" operator="between">
      <formula>0</formula>
      <formula>5</formula>
    </cfRule>
    <cfRule type="containsBlanks" dxfId="4089" priority="645" stopIfTrue="1">
      <formula>LEN(TRIM(E24))=0</formula>
    </cfRule>
  </conditionalFormatting>
  <conditionalFormatting sqref="E83:P84">
    <cfRule type="containsBlanks" dxfId="4088" priority="632" stopIfTrue="1">
      <formula>LEN(TRIM(E83))=0</formula>
    </cfRule>
    <cfRule type="cellIs" dxfId="4087" priority="633" stopIfTrue="1" operator="between">
      <formula>80.1</formula>
      <formula>100</formula>
    </cfRule>
    <cfRule type="cellIs" dxfId="4086" priority="634" stopIfTrue="1" operator="between">
      <formula>35.1</formula>
      <formula>80</formula>
    </cfRule>
    <cfRule type="cellIs" dxfId="4085" priority="635" stopIfTrue="1" operator="between">
      <formula>14.1</formula>
      <formula>35</formula>
    </cfRule>
    <cfRule type="cellIs" dxfId="4084" priority="636" stopIfTrue="1" operator="between">
      <formula>5.1</formula>
      <formula>14</formula>
    </cfRule>
    <cfRule type="cellIs" dxfId="4083" priority="637" stopIfTrue="1" operator="between">
      <formula>0</formula>
      <formula>5</formula>
    </cfRule>
    <cfRule type="containsBlanks" dxfId="4082" priority="638" stopIfTrue="1">
      <formula>LEN(TRIM(E83))=0</formula>
    </cfRule>
  </conditionalFormatting>
  <conditionalFormatting sqref="E92:P92">
    <cfRule type="containsBlanks" dxfId="4081" priority="597" stopIfTrue="1">
      <formula>LEN(TRIM(E92))=0</formula>
    </cfRule>
    <cfRule type="cellIs" dxfId="4080" priority="598" stopIfTrue="1" operator="between">
      <formula>80.1</formula>
      <formula>100</formula>
    </cfRule>
    <cfRule type="cellIs" dxfId="4079" priority="599" stopIfTrue="1" operator="between">
      <formula>35.1</formula>
      <formula>80</formula>
    </cfRule>
    <cfRule type="cellIs" dxfId="4078" priority="600" stopIfTrue="1" operator="between">
      <formula>14.1</formula>
      <formula>35</formula>
    </cfRule>
    <cfRule type="cellIs" dxfId="4077" priority="601" stopIfTrue="1" operator="between">
      <formula>5.1</formula>
      <formula>14</formula>
    </cfRule>
    <cfRule type="cellIs" dxfId="4076" priority="602" stopIfTrue="1" operator="between">
      <formula>0</formula>
      <formula>5</formula>
    </cfRule>
    <cfRule type="containsBlanks" dxfId="4075" priority="603" stopIfTrue="1">
      <formula>LEN(TRIM(E92))=0</formula>
    </cfRule>
  </conditionalFormatting>
  <conditionalFormatting sqref="E87:P87">
    <cfRule type="containsBlanks" dxfId="4074" priority="618" stopIfTrue="1">
      <formula>LEN(TRIM(E87))=0</formula>
    </cfRule>
    <cfRule type="cellIs" dxfId="4073" priority="619" stopIfTrue="1" operator="between">
      <formula>80.1</formula>
      <formula>100</formula>
    </cfRule>
    <cfRule type="cellIs" dxfId="4072" priority="620" stopIfTrue="1" operator="between">
      <formula>35.1</formula>
      <formula>80</formula>
    </cfRule>
    <cfRule type="cellIs" dxfId="4071" priority="621" stopIfTrue="1" operator="between">
      <formula>14.1</formula>
      <formula>35</formula>
    </cfRule>
    <cfRule type="cellIs" dxfId="4070" priority="622" stopIfTrue="1" operator="between">
      <formula>5.1</formula>
      <formula>14</formula>
    </cfRule>
    <cfRule type="cellIs" dxfId="4069" priority="623" stopIfTrue="1" operator="between">
      <formula>0</formula>
      <formula>5</formula>
    </cfRule>
    <cfRule type="containsBlanks" dxfId="4068" priority="624" stopIfTrue="1">
      <formula>LEN(TRIM(E87))=0</formula>
    </cfRule>
  </conditionalFormatting>
  <conditionalFormatting sqref="E88:P88">
    <cfRule type="containsBlanks" dxfId="4067" priority="611" stopIfTrue="1">
      <formula>LEN(TRIM(E88))=0</formula>
    </cfRule>
    <cfRule type="cellIs" dxfId="4066" priority="612" stopIfTrue="1" operator="between">
      <formula>80.1</formula>
      <formula>100</formula>
    </cfRule>
    <cfRule type="cellIs" dxfId="4065" priority="613" stopIfTrue="1" operator="between">
      <formula>35.1</formula>
      <formula>80</formula>
    </cfRule>
    <cfRule type="cellIs" dxfId="4064" priority="614" stopIfTrue="1" operator="between">
      <formula>14.1</formula>
      <formula>35</formula>
    </cfRule>
    <cfRule type="cellIs" dxfId="4063" priority="615" stopIfTrue="1" operator="between">
      <formula>5.1</formula>
      <formula>14</formula>
    </cfRule>
    <cfRule type="cellIs" dxfId="4062" priority="616" stopIfTrue="1" operator="between">
      <formula>0</formula>
      <formula>5</formula>
    </cfRule>
    <cfRule type="containsBlanks" dxfId="4061" priority="617" stopIfTrue="1">
      <formula>LEN(TRIM(E88))=0</formula>
    </cfRule>
  </conditionalFormatting>
  <conditionalFormatting sqref="E89:P89">
    <cfRule type="containsBlanks" dxfId="4060" priority="604" stopIfTrue="1">
      <formula>LEN(TRIM(E89))=0</formula>
    </cfRule>
    <cfRule type="cellIs" dxfId="4059" priority="605" stopIfTrue="1" operator="between">
      <formula>80.1</formula>
      <formula>100</formula>
    </cfRule>
    <cfRule type="cellIs" dxfId="4058" priority="606" stopIfTrue="1" operator="between">
      <formula>35.1</formula>
      <formula>80</formula>
    </cfRule>
    <cfRule type="cellIs" dxfId="4057" priority="607" stopIfTrue="1" operator="between">
      <formula>14.1</formula>
      <formula>35</formula>
    </cfRule>
    <cfRule type="cellIs" dxfId="4056" priority="608" stopIfTrue="1" operator="between">
      <formula>5.1</formula>
      <formula>14</formula>
    </cfRule>
    <cfRule type="cellIs" dxfId="4055" priority="609" stopIfTrue="1" operator="between">
      <formula>0</formula>
      <formula>5</formula>
    </cfRule>
    <cfRule type="containsBlanks" dxfId="4054" priority="610" stopIfTrue="1">
      <formula>LEN(TRIM(E89))=0</formula>
    </cfRule>
  </conditionalFormatting>
  <conditionalFormatting sqref="E93:P93">
    <cfRule type="containsBlanks" dxfId="4053" priority="590" stopIfTrue="1">
      <formula>LEN(TRIM(E93))=0</formula>
    </cfRule>
    <cfRule type="cellIs" dxfId="4052" priority="591" stopIfTrue="1" operator="between">
      <formula>80.1</formula>
      <formula>100</formula>
    </cfRule>
    <cfRule type="cellIs" dxfId="4051" priority="592" stopIfTrue="1" operator="between">
      <formula>35.1</formula>
      <formula>80</formula>
    </cfRule>
    <cfRule type="cellIs" dxfId="4050" priority="593" stopIfTrue="1" operator="between">
      <formula>14.1</formula>
      <formula>35</formula>
    </cfRule>
    <cfRule type="cellIs" dxfId="4049" priority="594" stopIfTrue="1" operator="between">
      <formula>5.1</formula>
      <formula>14</formula>
    </cfRule>
    <cfRule type="cellIs" dxfId="4048" priority="595" stopIfTrue="1" operator="between">
      <formula>0</formula>
      <formula>5</formula>
    </cfRule>
    <cfRule type="containsBlanks" dxfId="4047" priority="596" stopIfTrue="1">
      <formula>LEN(TRIM(E93))=0</formula>
    </cfRule>
  </conditionalFormatting>
  <conditionalFormatting sqref="E85:P85">
    <cfRule type="containsBlanks" dxfId="4046" priority="583" stopIfTrue="1">
      <formula>LEN(TRIM(E85))=0</formula>
    </cfRule>
    <cfRule type="cellIs" dxfId="4045" priority="584" stopIfTrue="1" operator="between">
      <formula>80.1</formula>
      <formula>100</formula>
    </cfRule>
    <cfRule type="cellIs" dxfId="4044" priority="585" stopIfTrue="1" operator="between">
      <formula>35.1</formula>
      <formula>80</formula>
    </cfRule>
    <cfRule type="cellIs" dxfId="4043" priority="586" stopIfTrue="1" operator="between">
      <formula>14.1</formula>
      <formula>35</formula>
    </cfRule>
    <cfRule type="cellIs" dxfId="4042" priority="587" stopIfTrue="1" operator="between">
      <formula>5.1</formula>
      <formula>14</formula>
    </cfRule>
    <cfRule type="cellIs" dxfId="4041" priority="588" stopIfTrue="1" operator="between">
      <formula>0</formula>
      <formula>5</formula>
    </cfRule>
    <cfRule type="containsBlanks" dxfId="4040" priority="589" stopIfTrue="1">
      <formula>LEN(TRIM(E85))=0</formula>
    </cfRule>
  </conditionalFormatting>
  <conditionalFormatting sqref="E94:P94">
    <cfRule type="containsBlanks" dxfId="4039" priority="576" stopIfTrue="1">
      <formula>LEN(TRIM(E94))=0</formula>
    </cfRule>
    <cfRule type="cellIs" dxfId="4038" priority="577" stopIfTrue="1" operator="between">
      <formula>80.1</formula>
      <formula>100</formula>
    </cfRule>
    <cfRule type="cellIs" dxfId="4037" priority="578" stopIfTrue="1" operator="between">
      <formula>35.1</formula>
      <formula>80</formula>
    </cfRule>
    <cfRule type="cellIs" dxfId="4036" priority="579" stopIfTrue="1" operator="between">
      <formula>14.1</formula>
      <formula>35</formula>
    </cfRule>
    <cfRule type="cellIs" dxfId="4035" priority="580" stopIfTrue="1" operator="between">
      <formula>5.1</formula>
      <formula>14</formula>
    </cfRule>
    <cfRule type="cellIs" dxfId="4034" priority="581" stopIfTrue="1" operator="between">
      <formula>0</formula>
      <formula>5</formula>
    </cfRule>
    <cfRule type="containsBlanks" dxfId="4033" priority="582" stopIfTrue="1">
      <formula>LEN(TRIM(E94))=0</formula>
    </cfRule>
  </conditionalFormatting>
  <conditionalFormatting sqref="E91:P91">
    <cfRule type="containsBlanks" dxfId="4032" priority="569" stopIfTrue="1">
      <formula>LEN(TRIM(E91))=0</formula>
    </cfRule>
    <cfRule type="cellIs" dxfId="4031" priority="570" stopIfTrue="1" operator="between">
      <formula>80.1</formula>
      <formula>100</formula>
    </cfRule>
    <cfRule type="cellIs" dxfId="4030" priority="571" stopIfTrue="1" operator="between">
      <formula>35.1</formula>
      <formula>80</formula>
    </cfRule>
    <cfRule type="cellIs" dxfId="4029" priority="572" stopIfTrue="1" operator="between">
      <formula>14.1</formula>
      <formula>35</formula>
    </cfRule>
    <cfRule type="cellIs" dxfId="4028" priority="573" stopIfTrue="1" operator="between">
      <formula>5.1</formula>
      <formula>14</formula>
    </cfRule>
    <cfRule type="cellIs" dxfId="4027" priority="574" stopIfTrue="1" operator="between">
      <formula>0</formula>
      <formula>5</formula>
    </cfRule>
    <cfRule type="containsBlanks" dxfId="4026" priority="575" stopIfTrue="1">
      <formula>LEN(TRIM(E91))=0</formula>
    </cfRule>
  </conditionalFormatting>
  <conditionalFormatting sqref="R99:R101">
    <cfRule type="cellIs" dxfId="4025" priority="561" stopIfTrue="1" operator="equal">
      <formula>"NO"</formula>
    </cfRule>
  </conditionalFormatting>
  <conditionalFormatting sqref="S99:S101">
    <cfRule type="cellIs" dxfId="4024" priority="560" stopIfTrue="1" operator="equal">
      <formula>"INVIABLE SANITARIAMENTE"</formula>
    </cfRule>
  </conditionalFormatting>
  <conditionalFormatting sqref="E99:Q101">
    <cfRule type="containsBlanks" dxfId="4023" priority="553" stopIfTrue="1">
      <formula>LEN(TRIM(E99))=0</formula>
    </cfRule>
    <cfRule type="cellIs" dxfId="4022" priority="554" stopIfTrue="1" operator="between">
      <formula>80.1</formula>
      <formula>100</formula>
    </cfRule>
    <cfRule type="cellIs" dxfId="4021" priority="555" stopIfTrue="1" operator="between">
      <formula>35.1</formula>
      <formula>80</formula>
    </cfRule>
    <cfRule type="cellIs" dxfId="4020" priority="556" stopIfTrue="1" operator="between">
      <formula>14.1</formula>
      <formula>35</formula>
    </cfRule>
    <cfRule type="cellIs" dxfId="4019" priority="557" stopIfTrue="1" operator="between">
      <formula>5.1</formula>
      <formula>14</formula>
    </cfRule>
    <cfRule type="cellIs" dxfId="4018" priority="558" stopIfTrue="1" operator="between">
      <formula>0</formula>
      <formula>5</formula>
    </cfRule>
    <cfRule type="containsBlanks" dxfId="4017" priority="559" stopIfTrue="1">
      <formula>LEN(TRIM(E99))=0</formula>
    </cfRule>
  </conditionalFormatting>
  <conditionalFormatting sqref="S99:S101">
    <cfRule type="containsText" dxfId="4016" priority="548" stopIfTrue="1" operator="containsText" text="INVIABLE SANITARIAMENTE">
      <formula>NOT(ISERROR(SEARCH("INVIABLE SANITARIAMENTE",S99)))</formula>
    </cfRule>
    <cfRule type="containsText" dxfId="4015" priority="549" stopIfTrue="1" operator="containsText" text="ALTO">
      <formula>NOT(ISERROR(SEARCH("ALTO",S99)))</formula>
    </cfRule>
    <cfRule type="containsText" dxfId="4014" priority="550" stopIfTrue="1" operator="containsText" text="MEDIO">
      <formula>NOT(ISERROR(SEARCH("MEDIO",S99)))</formula>
    </cfRule>
    <cfRule type="containsText" dxfId="4013" priority="551" stopIfTrue="1" operator="containsText" text="BAJO">
      <formula>NOT(ISERROR(SEARCH("BAJO",S99)))</formula>
    </cfRule>
    <cfRule type="containsText" dxfId="4012" priority="552" stopIfTrue="1" operator="containsText" text="SIN RIESGO">
      <formula>NOT(ISERROR(SEARCH("SIN RIESGO",S99)))</formula>
    </cfRule>
  </conditionalFormatting>
  <conditionalFormatting sqref="S99:S101">
    <cfRule type="containsText" dxfId="4011" priority="547" stopIfTrue="1" operator="containsText" text="SIN RIESGO">
      <formula>NOT(ISERROR(SEARCH("SIN RIESGO",S99)))</formula>
    </cfRule>
  </conditionalFormatting>
  <conditionalFormatting sqref="E112:P126">
    <cfRule type="containsBlanks" dxfId="4010" priority="540" stopIfTrue="1">
      <formula>LEN(TRIM(E112))=0</formula>
    </cfRule>
    <cfRule type="cellIs" dxfId="4009" priority="541" stopIfTrue="1" operator="between">
      <formula>80.1</formula>
      <formula>100</formula>
    </cfRule>
    <cfRule type="cellIs" dxfId="4008" priority="542" stopIfTrue="1" operator="between">
      <formula>35.1</formula>
      <formula>80</formula>
    </cfRule>
    <cfRule type="cellIs" dxfId="4007" priority="543" stopIfTrue="1" operator="between">
      <formula>14.1</formula>
      <formula>35</formula>
    </cfRule>
    <cfRule type="cellIs" dxfId="4006" priority="544" stopIfTrue="1" operator="between">
      <formula>5.1</formula>
      <formula>14</formula>
    </cfRule>
    <cfRule type="cellIs" dxfId="4005" priority="545" stopIfTrue="1" operator="between">
      <formula>0</formula>
      <formula>5</formula>
    </cfRule>
    <cfRule type="containsBlanks" dxfId="4004" priority="546" stopIfTrue="1">
      <formula>LEN(TRIM(E112))=0</formula>
    </cfRule>
  </conditionalFormatting>
  <conditionalFormatting sqref="M58:P58">
    <cfRule type="containsBlanks" dxfId="4003" priority="533" stopIfTrue="1">
      <formula>LEN(TRIM(M58))=0</formula>
    </cfRule>
    <cfRule type="cellIs" dxfId="4002" priority="534" stopIfTrue="1" operator="between">
      <formula>80.1</formula>
      <formula>100</formula>
    </cfRule>
    <cfRule type="cellIs" dxfId="4001" priority="535" stopIfTrue="1" operator="between">
      <formula>35.1</formula>
      <formula>80</formula>
    </cfRule>
    <cfRule type="cellIs" dxfId="4000" priority="536" stopIfTrue="1" operator="between">
      <formula>14.1</formula>
      <formula>35</formula>
    </cfRule>
    <cfRule type="cellIs" dxfId="3999" priority="537" stopIfTrue="1" operator="between">
      <formula>5.1</formula>
      <formula>14</formula>
    </cfRule>
    <cfRule type="cellIs" dxfId="3998" priority="538" stopIfTrue="1" operator="between">
      <formula>0</formula>
      <formula>5</formula>
    </cfRule>
    <cfRule type="containsBlanks" dxfId="3997" priority="539" stopIfTrue="1">
      <formula>LEN(TRIM(M58))=0</formula>
    </cfRule>
  </conditionalFormatting>
  <conditionalFormatting sqref="E58:L58">
    <cfRule type="containsBlanks" dxfId="3996" priority="526" stopIfTrue="1">
      <formula>LEN(TRIM(E58))=0</formula>
    </cfRule>
    <cfRule type="cellIs" dxfId="3995" priority="527" stopIfTrue="1" operator="between">
      <formula>80.1</formula>
      <formula>100</formula>
    </cfRule>
    <cfRule type="cellIs" dxfId="3994" priority="528" stopIfTrue="1" operator="between">
      <formula>35.1</formula>
      <formula>80</formula>
    </cfRule>
    <cfRule type="cellIs" dxfId="3993" priority="529" stopIfTrue="1" operator="between">
      <formula>14.1</formula>
      <formula>35</formula>
    </cfRule>
    <cfRule type="cellIs" dxfId="3992" priority="530" stopIfTrue="1" operator="between">
      <formula>5.1</formula>
      <formula>14</formula>
    </cfRule>
    <cfRule type="cellIs" dxfId="3991" priority="531" stopIfTrue="1" operator="between">
      <formula>0</formula>
      <formula>5</formula>
    </cfRule>
    <cfRule type="containsBlanks" dxfId="3990" priority="532" stopIfTrue="1">
      <formula>LEN(TRIM(E58))=0</formula>
    </cfRule>
  </conditionalFormatting>
  <conditionalFormatting sqref="M59:P59">
    <cfRule type="containsBlanks" dxfId="3989" priority="519" stopIfTrue="1">
      <formula>LEN(TRIM(M59))=0</formula>
    </cfRule>
    <cfRule type="cellIs" dxfId="3988" priority="520" stopIfTrue="1" operator="between">
      <formula>80.1</formula>
      <formula>100</formula>
    </cfRule>
    <cfRule type="cellIs" dxfId="3987" priority="521" stopIfTrue="1" operator="between">
      <formula>35.1</formula>
      <formula>80</formula>
    </cfRule>
    <cfRule type="cellIs" dxfId="3986" priority="522" stopIfTrue="1" operator="between">
      <formula>14.1</formula>
      <formula>35</formula>
    </cfRule>
    <cfRule type="cellIs" dxfId="3985" priority="523" stopIfTrue="1" operator="between">
      <formula>5.1</formula>
      <formula>14</formula>
    </cfRule>
    <cfRule type="cellIs" dxfId="3984" priority="524" stopIfTrue="1" operator="between">
      <formula>0</formula>
      <formula>5</formula>
    </cfRule>
    <cfRule type="containsBlanks" dxfId="3983" priority="525" stopIfTrue="1">
      <formula>LEN(TRIM(M59))=0</formula>
    </cfRule>
  </conditionalFormatting>
  <conditionalFormatting sqref="E59:L59">
    <cfRule type="containsBlanks" dxfId="3982" priority="512" stopIfTrue="1">
      <formula>LEN(TRIM(E59))=0</formula>
    </cfRule>
    <cfRule type="cellIs" dxfId="3981" priority="513" stopIfTrue="1" operator="between">
      <formula>80.1</formula>
      <formula>100</formula>
    </cfRule>
    <cfRule type="cellIs" dxfId="3980" priority="514" stopIfTrue="1" operator="between">
      <formula>35.1</formula>
      <formula>80</formula>
    </cfRule>
    <cfRule type="cellIs" dxfId="3979" priority="515" stopIfTrue="1" operator="between">
      <formula>14.1</formula>
      <formula>35</formula>
    </cfRule>
    <cfRule type="cellIs" dxfId="3978" priority="516" stopIfTrue="1" operator="between">
      <formula>5.1</formula>
      <formula>14</formula>
    </cfRule>
    <cfRule type="cellIs" dxfId="3977" priority="517" stopIfTrue="1" operator="between">
      <formula>0</formula>
      <formula>5</formula>
    </cfRule>
    <cfRule type="containsBlanks" dxfId="3976" priority="518" stopIfTrue="1">
      <formula>LEN(TRIM(E59))=0</formula>
    </cfRule>
  </conditionalFormatting>
  <conditionalFormatting sqref="E45:K45">
    <cfRule type="containsBlanks" dxfId="3975" priority="505" stopIfTrue="1">
      <formula>LEN(TRIM(E45))=0</formula>
    </cfRule>
    <cfRule type="cellIs" dxfId="3974" priority="506" stopIfTrue="1" operator="between">
      <formula>80.1</formula>
      <formula>100</formula>
    </cfRule>
    <cfRule type="cellIs" dxfId="3973" priority="507" stopIfTrue="1" operator="between">
      <formula>35.1</formula>
      <formula>80</formula>
    </cfRule>
    <cfRule type="cellIs" dxfId="3972" priority="508" stopIfTrue="1" operator="between">
      <formula>14.1</formula>
      <formula>35</formula>
    </cfRule>
    <cfRule type="cellIs" dxfId="3971" priority="509" stopIfTrue="1" operator="between">
      <formula>5.1</formula>
      <formula>14</formula>
    </cfRule>
    <cfRule type="cellIs" dxfId="3970" priority="510" stopIfTrue="1" operator="between">
      <formula>0</formula>
      <formula>5</formula>
    </cfRule>
    <cfRule type="containsBlanks" dxfId="3969" priority="511" stopIfTrue="1">
      <formula>LEN(TRIM(E45))=0</formula>
    </cfRule>
  </conditionalFormatting>
  <conditionalFormatting sqref="L45:P45">
    <cfRule type="containsBlanks" dxfId="3968" priority="498" stopIfTrue="1">
      <formula>LEN(TRIM(L45))=0</formula>
    </cfRule>
    <cfRule type="cellIs" dxfId="3967" priority="499" stopIfTrue="1" operator="between">
      <formula>80.1</formula>
      <formula>100</formula>
    </cfRule>
    <cfRule type="cellIs" dxfId="3966" priority="500" stopIfTrue="1" operator="between">
      <formula>35.1</formula>
      <formula>80</formula>
    </cfRule>
    <cfRule type="cellIs" dxfId="3965" priority="501" stopIfTrue="1" operator="between">
      <formula>14.1</formula>
      <formula>35</formula>
    </cfRule>
    <cfRule type="cellIs" dxfId="3964" priority="502" stopIfTrue="1" operator="between">
      <formula>5.1</formula>
      <formula>14</formula>
    </cfRule>
    <cfRule type="cellIs" dxfId="3963" priority="503" stopIfTrue="1" operator="between">
      <formula>0</formula>
      <formula>5</formula>
    </cfRule>
    <cfRule type="containsBlanks" dxfId="3962" priority="504" stopIfTrue="1">
      <formula>LEN(TRIM(L45))=0</formula>
    </cfRule>
  </conditionalFormatting>
  <conditionalFormatting sqref="M31:P31">
    <cfRule type="containsBlanks" dxfId="3961" priority="491" stopIfTrue="1">
      <formula>LEN(TRIM(M31))=0</formula>
    </cfRule>
    <cfRule type="cellIs" dxfId="3960" priority="492" stopIfTrue="1" operator="between">
      <formula>80.1</formula>
      <formula>100</formula>
    </cfRule>
    <cfRule type="cellIs" dxfId="3959" priority="493" stopIfTrue="1" operator="between">
      <formula>35.1</formula>
      <formula>80</formula>
    </cfRule>
    <cfRule type="cellIs" dxfId="3958" priority="494" stopIfTrue="1" operator="between">
      <formula>14.1</formula>
      <formula>35</formula>
    </cfRule>
    <cfRule type="cellIs" dxfId="3957" priority="495" stopIfTrue="1" operator="between">
      <formula>5.1</formula>
      <formula>14</formula>
    </cfRule>
    <cfRule type="cellIs" dxfId="3956" priority="496" stopIfTrue="1" operator="between">
      <formula>0</formula>
      <formula>5</formula>
    </cfRule>
    <cfRule type="containsBlanks" dxfId="3955" priority="497" stopIfTrue="1">
      <formula>LEN(TRIM(M31))=0</formula>
    </cfRule>
  </conditionalFormatting>
  <conditionalFormatting sqref="E31:L31">
    <cfRule type="containsBlanks" dxfId="3954" priority="484" stopIfTrue="1">
      <formula>LEN(TRIM(E31))=0</formula>
    </cfRule>
    <cfRule type="cellIs" dxfId="3953" priority="485" stopIfTrue="1" operator="between">
      <formula>80.1</formula>
      <formula>100</formula>
    </cfRule>
    <cfRule type="cellIs" dxfId="3952" priority="486" stopIfTrue="1" operator="between">
      <formula>35.1</formula>
      <formula>80</formula>
    </cfRule>
    <cfRule type="cellIs" dxfId="3951" priority="487" stopIfTrue="1" operator="between">
      <formula>14.1</formula>
      <formula>35</formula>
    </cfRule>
    <cfRule type="cellIs" dxfId="3950" priority="488" stopIfTrue="1" operator="between">
      <formula>5.1</formula>
      <formula>14</formula>
    </cfRule>
    <cfRule type="cellIs" dxfId="3949" priority="489" stopIfTrue="1" operator="between">
      <formula>0</formula>
      <formula>5</formula>
    </cfRule>
    <cfRule type="containsBlanks" dxfId="3948" priority="490" stopIfTrue="1">
      <formula>LEN(TRIM(E31))=0</formula>
    </cfRule>
  </conditionalFormatting>
  <conditionalFormatting sqref="M44:P44">
    <cfRule type="containsBlanks" dxfId="3947" priority="477" stopIfTrue="1">
      <formula>LEN(TRIM(M44))=0</formula>
    </cfRule>
    <cfRule type="cellIs" dxfId="3946" priority="478" stopIfTrue="1" operator="between">
      <formula>80.1</formula>
      <formula>100</formula>
    </cfRule>
    <cfRule type="cellIs" dxfId="3945" priority="479" stopIfTrue="1" operator="between">
      <formula>35.1</formula>
      <formula>80</formula>
    </cfRule>
    <cfRule type="cellIs" dxfId="3944" priority="480" stopIfTrue="1" operator="between">
      <formula>14.1</formula>
      <formula>35</formula>
    </cfRule>
    <cfRule type="cellIs" dxfId="3943" priority="481" stopIfTrue="1" operator="between">
      <formula>5.1</formula>
      <formula>14</formula>
    </cfRule>
    <cfRule type="cellIs" dxfId="3942" priority="482" stopIfTrue="1" operator="between">
      <formula>0</formula>
      <formula>5</formula>
    </cfRule>
    <cfRule type="containsBlanks" dxfId="3941" priority="483" stopIfTrue="1">
      <formula>LEN(TRIM(M44))=0</formula>
    </cfRule>
  </conditionalFormatting>
  <conditionalFormatting sqref="E44:L44">
    <cfRule type="containsBlanks" dxfId="3940" priority="470" stopIfTrue="1">
      <formula>LEN(TRIM(E44))=0</formula>
    </cfRule>
    <cfRule type="cellIs" dxfId="3939" priority="471" stopIfTrue="1" operator="between">
      <formula>80.1</formula>
      <formula>100</formula>
    </cfRule>
    <cfRule type="cellIs" dxfId="3938" priority="472" stopIfTrue="1" operator="between">
      <formula>35.1</formula>
      <formula>80</formula>
    </cfRule>
    <cfRule type="cellIs" dxfId="3937" priority="473" stopIfTrue="1" operator="between">
      <formula>14.1</formula>
      <formula>35</formula>
    </cfRule>
    <cfRule type="cellIs" dxfId="3936" priority="474" stopIfTrue="1" operator="between">
      <formula>5.1</formula>
      <formula>14</formula>
    </cfRule>
    <cfRule type="cellIs" dxfId="3935" priority="475" stopIfTrue="1" operator="between">
      <formula>0</formula>
      <formula>5</formula>
    </cfRule>
    <cfRule type="containsBlanks" dxfId="3934" priority="476" stopIfTrue="1">
      <formula>LEN(TRIM(E44))=0</formula>
    </cfRule>
  </conditionalFormatting>
  <conditionalFormatting sqref="M43:P43">
    <cfRule type="containsBlanks" dxfId="3933" priority="463" stopIfTrue="1">
      <formula>LEN(TRIM(M43))=0</formula>
    </cfRule>
    <cfRule type="cellIs" dxfId="3932" priority="464" stopIfTrue="1" operator="between">
      <formula>80.1</formula>
      <formula>100</formula>
    </cfRule>
    <cfRule type="cellIs" dxfId="3931" priority="465" stopIfTrue="1" operator="between">
      <formula>35.1</formula>
      <formula>80</formula>
    </cfRule>
    <cfRule type="cellIs" dxfId="3930" priority="466" stopIfTrue="1" operator="between">
      <formula>14.1</formula>
      <formula>35</formula>
    </cfRule>
    <cfRule type="cellIs" dxfId="3929" priority="467" stopIfTrue="1" operator="between">
      <formula>5.1</formula>
      <formula>14</formula>
    </cfRule>
    <cfRule type="cellIs" dxfId="3928" priority="468" stopIfTrue="1" operator="between">
      <formula>0</formula>
      <formula>5</formula>
    </cfRule>
    <cfRule type="containsBlanks" dxfId="3927" priority="469" stopIfTrue="1">
      <formula>LEN(TRIM(M43))=0</formula>
    </cfRule>
  </conditionalFormatting>
  <conditionalFormatting sqref="E43:L43">
    <cfRule type="containsBlanks" dxfId="3926" priority="456" stopIfTrue="1">
      <formula>LEN(TRIM(E43))=0</formula>
    </cfRule>
    <cfRule type="cellIs" dxfId="3925" priority="457" stopIfTrue="1" operator="between">
      <formula>80.1</formula>
      <formula>100</formula>
    </cfRule>
    <cfRule type="cellIs" dxfId="3924" priority="458" stopIfTrue="1" operator="between">
      <formula>35.1</formula>
      <formula>80</formula>
    </cfRule>
    <cfRule type="cellIs" dxfId="3923" priority="459" stopIfTrue="1" operator="between">
      <formula>14.1</formula>
      <formula>35</formula>
    </cfRule>
    <cfRule type="cellIs" dxfId="3922" priority="460" stopIfTrue="1" operator="between">
      <formula>5.1</formula>
      <formula>14</formula>
    </cfRule>
    <cfRule type="cellIs" dxfId="3921" priority="461" stopIfTrue="1" operator="between">
      <formula>0</formula>
      <formula>5</formula>
    </cfRule>
    <cfRule type="containsBlanks" dxfId="3920" priority="462" stopIfTrue="1">
      <formula>LEN(TRIM(E43))=0</formula>
    </cfRule>
  </conditionalFormatting>
  <conditionalFormatting sqref="M41:P41">
    <cfRule type="containsBlanks" dxfId="3919" priority="449" stopIfTrue="1">
      <formula>LEN(TRIM(M41))=0</formula>
    </cfRule>
    <cfRule type="cellIs" dxfId="3918" priority="450" stopIfTrue="1" operator="between">
      <formula>80.1</formula>
      <formula>100</formula>
    </cfRule>
    <cfRule type="cellIs" dxfId="3917" priority="451" stopIfTrue="1" operator="between">
      <formula>35.1</formula>
      <formula>80</formula>
    </cfRule>
    <cfRule type="cellIs" dxfId="3916" priority="452" stopIfTrue="1" operator="between">
      <formula>14.1</formula>
      <formula>35</formula>
    </cfRule>
    <cfRule type="cellIs" dxfId="3915" priority="453" stopIfTrue="1" operator="between">
      <formula>5.1</formula>
      <formula>14</formula>
    </cfRule>
    <cfRule type="cellIs" dxfId="3914" priority="454" stopIfTrue="1" operator="between">
      <formula>0</formula>
      <formula>5</formula>
    </cfRule>
    <cfRule type="containsBlanks" dxfId="3913" priority="455" stopIfTrue="1">
      <formula>LEN(TRIM(M41))=0</formula>
    </cfRule>
  </conditionalFormatting>
  <conditionalFormatting sqref="E41:L41">
    <cfRule type="containsBlanks" dxfId="3912" priority="442" stopIfTrue="1">
      <formula>LEN(TRIM(E41))=0</formula>
    </cfRule>
    <cfRule type="cellIs" dxfId="3911" priority="443" stopIfTrue="1" operator="between">
      <formula>80.1</formula>
      <formula>100</formula>
    </cfRule>
    <cfRule type="cellIs" dxfId="3910" priority="444" stopIfTrue="1" operator="between">
      <formula>35.1</formula>
      <formula>80</formula>
    </cfRule>
    <cfRule type="cellIs" dxfId="3909" priority="445" stopIfTrue="1" operator="between">
      <formula>14.1</formula>
      <formula>35</formula>
    </cfRule>
    <cfRule type="cellIs" dxfId="3908" priority="446" stopIfTrue="1" operator="between">
      <formula>5.1</formula>
      <formula>14</formula>
    </cfRule>
    <cfRule type="cellIs" dxfId="3907" priority="447" stopIfTrue="1" operator="between">
      <formula>0</formula>
      <formula>5</formula>
    </cfRule>
    <cfRule type="containsBlanks" dxfId="3906" priority="448" stopIfTrue="1">
      <formula>LEN(TRIM(E41))=0</formula>
    </cfRule>
  </conditionalFormatting>
  <conditionalFormatting sqref="M39:P39">
    <cfRule type="containsBlanks" dxfId="3905" priority="435" stopIfTrue="1">
      <formula>LEN(TRIM(M39))=0</formula>
    </cfRule>
    <cfRule type="cellIs" dxfId="3904" priority="436" stopIfTrue="1" operator="between">
      <formula>80.1</formula>
      <formula>100</formula>
    </cfRule>
    <cfRule type="cellIs" dxfId="3903" priority="437" stopIfTrue="1" operator="between">
      <formula>35.1</formula>
      <formula>80</formula>
    </cfRule>
    <cfRule type="cellIs" dxfId="3902" priority="438" stopIfTrue="1" operator="between">
      <formula>14.1</formula>
      <formula>35</formula>
    </cfRule>
    <cfRule type="cellIs" dxfId="3901" priority="439" stopIfTrue="1" operator="between">
      <formula>5.1</formula>
      <formula>14</formula>
    </cfRule>
    <cfRule type="cellIs" dxfId="3900" priority="440" stopIfTrue="1" operator="between">
      <formula>0</formula>
      <formula>5</formula>
    </cfRule>
    <cfRule type="containsBlanks" dxfId="3899" priority="441" stopIfTrue="1">
      <formula>LEN(TRIM(M39))=0</formula>
    </cfRule>
  </conditionalFormatting>
  <conditionalFormatting sqref="E39:L39">
    <cfRule type="containsBlanks" dxfId="3898" priority="428" stopIfTrue="1">
      <formula>LEN(TRIM(E39))=0</formula>
    </cfRule>
    <cfRule type="cellIs" dxfId="3897" priority="429" stopIfTrue="1" operator="between">
      <formula>80.1</formula>
      <formula>100</formula>
    </cfRule>
    <cfRule type="cellIs" dxfId="3896" priority="430" stopIfTrue="1" operator="between">
      <formula>35.1</formula>
      <formula>80</formula>
    </cfRule>
    <cfRule type="cellIs" dxfId="3895" priority="431" stopIfTrue="1" operator="between">
      <formula>14.1</formula>
      <formula>35</formula>
    </cfRule>
    <cfRule type="cellIs" dxfId="3894" priority="432" stopIfTrue="1" operator="between">
      <formula>5.1</formula>
      <formula>14</formula>
    </cfRule>
    <cfRule type="cellIs" dxfId="3893" priority="433" stopIfTrue="1" operator="between">
      <formula>0</formula>
      <formula>5</formula>
    </cfRule>
    <cfRule type="containsBlanks" dxfId="3892" priority="434" stopIfTrue="1">
      <formula>LEN(TRIM(E39))=0</formula>
    </cfRule>
  </conditionalFormatting>
  <conditionalFormatting sqref="M38:P38">
    <cfRule type="containsBlanks" dxfId="3891" priority="421" stopIfTrue="1">
      <formula>LEN(TRIM(M38))=0</formula>
    </cfRule>
    <cfRule type="cellIs" dxfId="3890" priority="422" stopIfTrue="1" operator="between">
      <formula>80.1</formula>
      <formula>100</formula>
    </cfRule>
    <cfRule type="cellIs" dxfId="3889" priority="423" stopIfTrue="1" operator="between">
      <formula>35.1</formula>
      <formula>80</formula>
    </cfRule>
    <cfRule type="cellIs" dxfId="3888" priority="424" stopIfTrue="1" operator="between">
      <formula>14.1</formula>
      <formula>35</formula>
    </cfRule>
    <cfRule type="cellIs" dxfId="3887" priority="425" stopIfTrue="1" operator="between">
      <formula>5.1</formula>
      <formula>14</formula>
    </cfRule>
    <cfRule type="cellIs" dxfId="3886" priority="426" stopIfTrue="1" operator="between">
      <formula>0</formula>
      <formula>5</formula>
    </cfRule>
    <cfRule type="containsBlanks" dxfId="3885" priority="427" stopIfTrue="1">
      <formula>LEN(TRIM(M38))=0</formula>
    </cfRule>
  </conditionalFormatting>
  <conditionalFormatting sqref="E38:L38">
    <cfRule type="containsBlanks" dxfId="3884" priority="414" stopIfTrue="1">
      <formula>LEN(TRIM(E38))=0</formula>
    </cfRule>
    <cfRule type="cellIs" dxfId="3883" priority="415" stopIfTrue="1" operator="between">
      <formula>80.1</formula>
      <formula>100</formula>
    </cfRule>
    <cfRule type="cellIs" dxfId="3882" priority="416" stopIfTrue="1" operator="between">
      <formula>35.1</formula>
      <formula>80</formula>
    </cfRule>
    <cfRule type="cellIs" dxfId="3881" priority="417" stopIfTrue="1" operator="between">
      <formula>14.1</formula>
      <formula>35</formula>
    </cfRule>
    <cfRule type="cellIs" dxfId="3880" priority="418" stopIfTrue="1" operator="between">
      <formula>5.1</formula>
      <formula>14</formula>
    </cfRule>
    <cfRule type="cellIs" dxfId="3879" priority="419" stopIfTrue="1" operator="between">
      <formula>0</formula>
      <formula>5</formula>
    </cfRule>
    <cfRule type="containsBlanks" dxfId="3878" priority="420" stopIfTrue="1">
      <formula>LEN(TRIM(E38))=0</formula>
    </cfRule>
  </conditionalFormatting>
  <conditionalFormatting sqref="M37:P37">
    <cfRule type="containsBlanks" dxfId="3877" priority="407" stopIfTrue="1">
      <formula>LEN(TRIM(M37))=0</formula>
    </cfRule>
    <cfRule type="cellIs" dxfId="3876" priority="408" stopIfTrue="1" operator="between">
      <formula>80.1</formula>
      <formula>100</formula>
    </cfRule>
    <cfRule type="cellIs" dxfId="3875" priority="409" stopIfTrue="1" operator="between">
      <formula>35.1</formula>
      <formula>80</formula>
    </cfRule>
    <cfRule type="cellIs" dxfId="3874" priority="410" stopIfTrue="1" operator="between">
      <formula>14.1</formula>
      <formula>35</formula>
    </cfRule>
    <cfRule type="cellIs" dxfId="3873" priority="411" stopIfTrue="1" operator="between">
      <formula>5.1</formula>
      <formula>14</formula>
    </cfRule>
    <cfRule type="cellIs" dxfId="3872" priority="412" stopIfTrue="1" operator="between">
      <formula>0</formula>
      <formula>5</formula>
    </cfRule>
    <cfRule type="containsBlanks" dxfId="3871" priority="413" stopIfTrue="1">
      <formula>LEN(TRIM(M37))=0</formula>
    </cfRule>
  </conditionalFormatting>
  <conditionalFormatting sqref="E37:L37">
    <cfRule type="containsBlanks" dxfId="3870" priority="400" stopIfTrue="1">
      <formula>LEN(TRIM(E37))=0</formula>
    </cfRule>
    <cfRule type="cellIs" dxfId="3869" priority="401" stopIfTrue="1" operator="between">
      <formula>80.1</formula>
      <formula>100</formula>
    </cfRule>
    <cfRule type="cellIs" dxfId="3868" priority="402" stopIfTrue="1" operator="between">
      <formula>35.1</formula>
      <formula>80</formula>
    </cfRule>
    <cfRule type="cellIs" dxfId="3867" priority="403" stopIfTrue="1" operator="between">
      <formula>14.1</formula>
      <formula>35</formula>
    </cfRule>
    <cfRule type="cellIs" dxfId="3866" priority="404" stopIfTrue="1" operator="between">
      <formula>5.1</formula>
      <formula>14</formula>
    </cfRule>
    <cfRule type="cellIs" dxfId="3865" priority="405" stopIfTrue="1" operator="between">
      <formula>0</formula>
      <formula>5</formula>
    </cfRule>
    <cfRule type="containsBlanks" dxfId="3864" priority="406" stopIfTrue="1">
      <formula>LEN(TRIM(E37))=0</formula>
    </cfRule>
  </conditionalFormatting>
  <conditionalFormatting sqref="M36:P36">
    <cfRule type="containsBlanks" dxfId="3863" priority="393" stopIfTrue="1">
      <formula>LEN(TRIM(M36))=0</formula>
    </cfRule>
    <cfRule type="cellIs" dxfId="3862" priority="394" stopIfTrue="1" operator="between">
      <formula>80.1</formula>
      <formula>100</formula>
    </cfRule>
    <cfRule type="cellIs" dxfId="3861" priority="395" stopIfTrue="1" operator="between">
      <formula>35.1</formula>
      <formula>80</formula>
    </cfRule>
    <cfRule type="cellIs" dxfId="3860" priority="396" stopIfTrue="1" operator="between">
      <formula>14.1</formula>
      <formula>35</formula>
    </cfRule>
    <cfRule type="cellIs" dxfId="3859" priority="397" stopIfTrue="1" operator="between">
      <formula>5.1</formula>
      <formula>14</formula>
    </cfRule>
    <cfRule type="cellIs" dxfId="3858" priority="398" stopIfTrue="1" operator="between">
      <formula>0</formula>
      <formula>5</formula>
    </cfRule>
    <cfRule type="containsBlanks" dxfId="3857" priority="399" stopIfTrue="1">
      <formula>LEN(TRIM(M36))=0</formula>
    </cfRule>
  </conditionalFormatting>
  <conditionalFormatting sqref="E36:L36">
    <cfRule type="containsBlanks" dxfId="3856" priority="386" stopIfTrue="1">
      <formula>LEN(TRIM(E36))=0</formula>
    </cfRule>
    <cfRule type="cellIs" dxfId="3855" priority="387" stopIfTrue="1" operator="between">
      <formula>80.1</formula>
      <formula>100</formula>
    </cfRule>
    <cfRule type="cellIs" dxfId="3854" priority="388" stopIfTrue="1" operator="between">
      <formula>35.1</formula>
      <formula>80</formula>
    </cfRule>
    <cfRule type="cellIs" dxfId="3853" priority="389" stopIfTrue="1" operator="between">
      <formula>14.1</formula>
      <formula>35</formula>
    </cfRule>
    <cfRule type="cellIs" dxfId="3852" priority="390" stopIfTrue="1" operator="between">
      <formula>5.1</formula>
      <formula>14</formula>
    </cfRule>
    <cfRule type="cellIs" dxfId="3851" priority="391" stopIfTrue="1" operator="between">
      <formula>0</formula>
      <formula>5</formula>
    </cfRule>
    <cfRule type="containsBlanks" dxfId="3850" priority="392" stopIfTrue="1">
      <formula>LEN(TRIM(E36))=0</formula>
    </cfRule>
  </conditionalFormatting>
  <conditionalFormatting sqref="M35:P35">
    <cfRule type="containsBlanks" dxfId="3849" priority="379" stopIfTrue="1">
      <formula>LEN(TRIM(M35))=0</formula>
    </cfRule>
    <cfRule type="cellIs" dxfId="3848" priority="380" stopIfTrue="1" operator="between">
      <formula>80.1</formula>
      <formula>100</formula>
    </cfRule>
    <cfRule type="cellIs" dxfId="3847" priority="381" stopIfTrue="1" operator="between">
      <formula>35.1</formula>
      <formula>80</formula>
    </cfRule>
    <cfRule type="cellIs" dxfId="3846" priority="382" stopIfTrue="1" operator="between">
      <formula>14.1</formula>
      <formula>35</formula>
    </cfRule>
    <cfRule type="cellIs" dxfId="3845" priority="383" stopIfTrue="1" operator="between">
      <formula>5.1</formula>
      <formula>14</formula>
    </cfRule>
    <cfRule type="cellIs" dxfId="3844" priority="384" stopIfTrue="1" operator="between">
      <formula>0</formula>
      <formula>5</formula>
    </cfRule>
    <cfRule type="containsBlanks" dxfId="3843" priority="385" stopIfTrue="1">
      <formula>LEN(TRIM(M35))=0</formula>
    </cfRule>
  </conditionalFormatting>
  <conditionalFormatting sqref="E35:L35">
    <cfRule type="containsBlanks" dxfId="3842" priority="372" stopIfTrue="1">
      <formula>LEN(TRIM(E35))=0</formula>
    </cfRule>
    <cfRule type="cellIs" dxfId="3841" priority="373" stopIfTrue="1" operator="between">
      <formula>80.1</formula>
      <formula>100</formula>
    </cfRule>
    <cfRule type="cellIs" dxfId="3840" priority="374" stopIfTrue="1" operator="between">
      <formula>35.1</formula>
      <formula>80</formula>
    </cfRule>
    <cfRule type="cellIs" dxfId="3839" priority="375" stopIfTrue="1" operator="between">
      <formula>14.1</formula>
      <formula>35</formula>
    </cfRule>
    <cfRule type="cellIs" dxfId="3838" priority="376" stopIfTrue="1" operator="between">
      <formula>5.1</formula>
      <formula>14</formula>
    </cfRule>
    <cfRule type="cellIs" dxfId="3837" priority="377" stopIfTrue="1" operator="between">
      <formula>0</formula>
      <formula>5</formula>
    </cfRule>
    <cfRule type="containsBlanks" dxfId="3836" priority="378" stopIfTrue="1">
      <formula>LEN(TRIM(E35))=0</formula>
    </cfRule>
  </conditionalFormatting>
  <conditionalFormatting sqref="M32:P32">
    <cfRule type="containsBlanks" dxfId="3835" priority="365" stopIfTrue="1">
      <formula>LEN(TRIM(M32))=0</formula>
    </cfRule>
    <cfRule type="cellIs" dxfId="3834" priority="366" stopIfTrue="1" operator="between">
      <formula>80.1</formula>
      <formula>100</formula>
    </cfRule>
    <cfRule type="cellIs" dxfId="3833" priority="367" stopIfTrue="1" operator="between">
      <formula>35.1</formula>
      <formula>80</formula>
    </cfRule>
    <cfRule type="cellIs" dxfId="3832" priority="368" stopIfTrue="1" operator="between">
      <formula>14.1</formula>
      <formula>35</formula>
    </cfRule>
    <cfRule type="cellIs" dxfId="3831" priority="369" stopIfTrue="1" operator="between">
      <formula>5.1</formula>
      <formula>14</formula>
    </cfRule>
    <cfRule type="cellIs" dxfId="3830" priority="370" stopIfTrue="1" operator="between">
      <formula>0</formula>
      <formula>5</formula>
    </cfRule>
    <cfRule type="containsBlanks" dxfId="3829" priority="371" stopIfTrue="1">
      <formula>LEN(TRIM(M32))=0</formula>
    </cfRule>
  </conditionalFormatting>
  <conditionalFormatting sqref="E32:L32">
    <cfRule type="containsBlanks" dxfId="3828" priority="358" stopIfTrue="1">
      <formula>LEN(TRIM(E32))=0</formula>
    </cfRule>
    <cfRule type="cellIs" dxfId="3827" priority="359" stopIfTrue="1" operator="between">
      <formula>80.1</formula>
      <formula>100</formula>
    </cfRule>
    <cfRule type="cellIs" dxfId="3826" priority="360" stopIfTrue="1" operator="between">
      <formula>35.1</formula>
      <formula>80</formula>
    </cfRule>
    <cfRule type="cellIs" dxfId="3825" priority="361" stopIfTrue="1" operator="between">
      <formula>14.1</formula>
      <formula>35</formula>
    </cfRule>
    <cfRule type="cellIs" dxfId="3824" priority="362" stopIfTrue="1" operator="between">
      <formula>5.1</formula>
      <formula>14</formula>
    </cfRule>
    <cfRule type="cellIs" dxfId="3823" priority="363" stopIfTrue="1" operator="between">
      <formula>0</formula>
      <formula>5</formula>
    </cfRule>
    <cfRule type="containsBlanks" dxfId="3822" priority="364" stopIfTrue="1">
      <formula>LEN(TRIM(E32))=0</formula>
    </cfRule>
  </conditionalFormatting>
  <conditionalFormatting sqref="M33:P33">
    <cfRule type="containsBlanks" dxfId="3821" priority="351" stopIfTrue="1">
      <formula>LEN(TRIM(M33))=0</formula>
    </cfRule>
    <cfRule type="cellIs" dxfId="3820" priority="352" stopIfTrue="1" operator="between">
      <formula>80.1</formula>
      <formula>100</formula>
    </cfRule>
    <cfRule type="cellIs" dxfId="3819" priority="353" stopIfTrue="1" operator="between">
      <formula>35.1</formula>
      <formula>80</formula>
    </cfRule>
    <cfRule type="cellIs" dxfId="3818" priority="354" stopIfTrue="1" operator="between">
      <formula>14.1</formula>
      <formula>35</formula>
    </cfRule>
    <cfRule type="cellIs" dxfId="3817" priority="355" stopIfTrue="1" operator="between">
      <formula>5.1</formula>
      <formula>14</formula>
    </cfRule>
    <cfRule type="cellIs" dxfId="3816" priority="356" stopIfTrue="1" operator="between">
      <formula>0</formula>
      <formula>5</formula>
    </cfRule>
    <cfRule type="containsBlanks" dxfId="3815" priority="357" stopIfTrue="1">
      <formula>LEN(TRIM(M33))=0</formula>
    </cfRule>
  </conditionalFormatting>
  <conditionalFormatting sqref="E33:L33">
    <cfRule type="containsBlanks" dxfId="3814" priority="344" stopIfTrue="1">
      <formula>LEN(TRIM(E33))=0</formula>
    </cfRule>
    <cfRule type="cellIs" dxfId="3813" priority="345" stopIfTrue="1" operator="between">
      <formula>80.1</formula>
      <formula>100</formula>
    </cfRule>
    <cfRule type="cellIs" dxfId="3812" priority="346" stopIfTrue="1" operator="between">
      <formula>35.1</formula>
      <formula>80</formula>
    </cfRule>
    <cfRule type="cellIs" dxfId="3811" priority="347" stopIfTrue="1" operator="between">
      <formula>14.1</formula>
      <formula>35</formula>
    </cfRule>
    <cfRule type="cellIs" dxfId="3810" priority="348" stopIfTrue="1" operator="between">
      <formula>5.1</formula>
      <formula>14</formula>
    </cfRule>
    <cfRule type="cellIs" dxfId="3809" priority="349" stopIfTrue="1" operator="between">
      <formula>0</formula>
      <formula>5</formula>
    </cfRule>
    <cfRule type="containsBlanks" dxfId="3808" priority="350" stopIfTrue="1">
      <formula>LEN(TRIM(E33))=0</formula>
    </cfRule>
  </conditionalFormatting>
  <conditionalFormatting sqref="M34:P34">
    <cfRule type="containsBlanks" dxfId="3807" priority="337" stopIfTrue="1">
      <formula>LEN(TRIM(M34))=0</formula>
    </cfRule>
    <cfRule type="cellIs" dxfId="3806" priority="338" stopIfTrue="1" operator="between">
      <formula>80.1</formula>
      <formula>100</formula>
    </cfRule>
    <cfRule type="cellIs" dxfId="3805" priority="339" stopIfTrue="1" operator="between">
      <formula>35.1</formula>
      <formula>80</formula>
    </cfRule>
    <cfRule type="cellIs" dxfId="3804" priority="340" stopIfTrue="1" operator="between">
      <formula>14.1</formula>
      <formula>35</formula>
    </cfRule>
    <cfRule type="cellIs" dxfId="3803" priority="341" stopIfTrue="1" operator="between">
      <formula>5.1</formula>
      <formula>14</formula>
    </cfRule>
    <cfRule type="cellIs" dxfId="3802" priority="342" stopIfTrue="1" operator="between">
      <formula>0</formula>
      <formula>5</formula>
    </cfRule>
    <cfRule type="containsBlanks" dxfId="3801" priority="343" stopIfTrue="1">
      <formula>LEN(TRIM(M34))=0</formula>
    </cfRule>
  </conditionalFormatting>
  <conditionalFormatting sqref="E34:L34">
    <cfRule type="containsBlanks" dxfId="3800" priority="330" stopIfTrue="1">
      <formula>LEN(TRIM(E34))=0</formula>
    </cfRule>
    <cfRule type="cellIs" dxfId="3799" priority="331" stopIfTrue="1" operator="between">
      <formula>80.1</formula>
      <formula>100</formula>
    </cfRule>
    <cfRule type="cellIs" dxfId="3798" priority="332" stopIfTrue="1" operator="between">
      <formula>35.1</formula>
      <formula>80</formula>
    </cfRule>
    <cfRule type="cellIs" dxfId="3797" priority="333" stopIfTrue="1" operator="between">
      <formula>14.1</formula>
      <formula>35</formula>
    </cfRule>
    <cfRule type="cellIs" dxfId="3796" priority="334" stopIfTrue="1" operator="between">
      <formula>5.1</formula>
      <formula>14</formula>
    </cfRule>
    <cfRule type="cellIs" dxfId="3795" priority="335" stopIfTrue="1" operator="between">
      <formula>0</formula>
      <formula>5</formula>
    </cfRule>
    <cfRule type="containsBlanks" dxfId="3794" priority="336" stopIfTrue="1">
      <formula>LEN(TRIM(E34))=0</formula>
    </cfRule>
  </conditionalFormatting>
  <conditionalFormatting sqref="M63:P63">
    <cfRule type="containsBlanks" dxfId="3793" priority="323" stopIfTrue="1">
      <formula>LEN(TRIM(M63))=0</formula>
    </cfRule>
    <cfRule type="cellIs" dxfId="3792" priority="324" stopIfTrue="1" operator="between">
      <formula>80.1</formula>
      <formula>100</formula>
    </cfRule>
    <cfRule type="cellIs" dxfId="3791" priority="325" stopIfTrue="1" operator="between">
      <formula>35.1</formula>
      <formula>80</formula>
    </cfRule>
    <cfRule type="cellIs" dxfId="3790" priority="326" stopIfTrue="1" operator="between">
      <formula>14.1</formula>
      <formula>35</formula>
    </cfRule>
    <cfRule type="cellIs" dxfId="3789" priority="327" stopIfTrue="1" operator="between">
      <formula>5.1</formula>
      <formula>14</formula>
    </cfRule>
    <cfRule type="cellIs" dxfId="3788" priority="328" stopIfTrue="1" operator="between">
      <formula>0</formula>
      <formula>5</formula>
    </cfRule>
    <cfRule type="containsBlanks" dxfId="3787" priority="329" stopIfTrue="1">
      <formula>LEN(TRIM(M63))=0</formula>
    </cfRule>
  </conditionalFormatting>
  <conditionalFormatting sqref="E63:L63">
    <cfRule type="containsBlanks" dxfId="3786" priority="316" stopIfTrue="1">
      <formula>LEN(TRIM(E63))=0</formula>
    </cfRule>
    <cfRule type="cellIs" dxfId="3785" priority="317" stopIfTrue="1" operator="between">
      <formula>80.1</formula>
      <formula>100</formula>
    </cfRule>
    <cfRule type="cellIs" dxfId="3784" priority="318" stopIfTrue="1" operator="between">
      <formula>35.1</formula>
      <formula>80</formula>
    </cfRule>
    <cfRule type="cellIs" dxfId="3783" priority="319" stopIfTrue="1" operator="between">
      <formula>14.1</formula>
      <formula>35</formula>
    </cfRule>
    <cfRule type="cellIs" dxfId="3782" priority="320" stopIfTrue="1" operator="between">
      <formula>5.1</formula>
      <formula>14</formula>
    </cfRule>
    <cfRule type="cellIs" dxfId="3781" priority="321" stopIfTrue="1" operator="between">
      <formula>0</formula>
      <formula>5</formula>
    </cfRule>
    <cfRule type="containsBlanks" dxfId="3780" priority="322" stopIfTrue="1">
      <formula>LEN(TRIM(E63))=0</formula>
    </cfRule>
  </conditionalFormatting>
  <conditionalFormatting sqref="M52:P52">
    <cfRule type="containsBlanks" dxfId="3779" priority="309" stopIfTrue="1">
      <formula>LEN(TRIM(M52))=0</formula>
    </cfRule>
    <cfRule type="cellIs" dxfId="3778" priority="310" stopIfTrue="1" operator="between">
      <formula>80.1</formula>
      <formula>100</formula>
    </cfRule>
    <cfRule type="cellIs" dxfId="3777" priority="311" stopIfTrue="1" operator="between">
      <formula>35.1</formula>
      <formula>80</formula>
    </cfRule>
    <cfRule type="cellIs" dxfId="3776" priority="312" stopIfTrue="1" operator="between">
      <formula>14.1</formula>
      <formula>35</formula>
    </cfRule>
    <cfRule type="cellIs" dxfId="3775" priority="313" stopIfTrue="1" operator="between">
      <formula>5.1</formula>
      <formula>14</formula>
    </cfRule>
    <cfRule type="cellIs" dxfId="3774" priority="314" stopIfTrue="1" operator="between">
      <formula>0</formula>
      <formula>5</formula>
    </cfRule>
    <cfRule type="containsBlanks" dxfId="3773" priority="315" stopIfTrue="1">
      <formula>LEN(TRIM(M52))=0</formula>
    </cfRule>
  </conditionalFormatting>
  <conditionalFormatting sqref="E52:L52">
    <cfRule type="containsBlanks" dxfId="3772" priority="302" stopIfTrue="1">
      <formula>LEN(TRIM(E52))=0</formula>
    </cfRule>
    <cfRule type="cellIs" dxfId="3771" priority="303" stopIfTrue="1" operator="between">
      <formula>80.1</formula>
      <formula>100</formula>
    </cfRule>
    <cfRule type="cellIs" dxfId="3770" priority="304" stopIfTrue="1" operator="between">
      <formula>35.1</formula>
      <formula>80</formula>
    </cfRule>
    <cfRule type="cellIs" dxfId="3769" priority="305" stopIfTrue="1" operator="between">
      <formula>14.1</formula>
      <formula>35</formula>
    </cfRule>
    <cfRule type="cellIs" dxfId="3768" priority="306" stopIfTrue="1" operator="between">
      <formula>5.1</formula>
      <formula>14</formula>
    </cfRule>
    <cfRule type="cellIs" dxfId="3767" priority="307" stopIfTrue="1" operator="between">
      <formula>0</formula>
      <formula>5</formula>
    </cfRule>
    <cfRule type="containsBlanks" dxfId="3766" priority="308" stopIfTrue="1">
      <formula>LEN(TRIM(E52))=0</formula>
    </cfRule>
  </conditionalFormatting>
  <conditionalFormatting sqref="M54:P54">
    <cfRule type="containsBlanks" dxfId="3765" priority="295" stopIfTrue="1">
      <formula>LEN(TRIM(M54))=0</formula>
    </cfRule>
    <cfRule type="cellIs" dxfId="3764" priority="296" stopIfTrue="1" operator="between">
      <formula>80.1</formula>
      <formula>100</formula>
    </cfRule>
    <cfRule type="cellIs" dxfId="3763" priority="297" stopIfTrue="1" operator="between">
      <formula>35.1</formula>
      <formula>80</formula>
    </cfRule>
    <cfRule type="cellIs" dxfId="3762" priority="298" stopIfTrue="1" operator="between">
      <formula>14.1</formula>
      <formula>35</formula>
    </cfRule>
    <cfRule type="cellIs" dxfId="3761" priority="299" stopIfTrue="1" operator="between">
      <formula>5.1</formula>
      <formula>14</formula>
    </cfRule>
    <cfRule type="cellIs" dxfId="3760" priority="300" stopIfTrue="1" operator="between">
      <formula>0</formula>
      <formula>5</formula>
    </cfRule>
    <cfRule type="containsBlanks" dxfId="3759" priority="301" stopIfTrue="1">
      <formula>LEN(TRIM(M54))=0</formula>
    </cfRule>
  </conditionalFormatting>
  <conditionalFormatting sqref="H54:L54 E54:F54">
    <cfRule type="containsBlanks" dxfId="3758" priority="288" stopIfTrue="1">
      <formula>LEN(TRIM(E54))=0</formula>
    </cfRule>
    <cfRule type="cellIs" dxfId="3757" priority="289" stopIfTrue="1" operator="between">
      <formula>80.1</formula>
      <formula>100</formula>
    </cfRule>
    <cfRule type="cellIs" dxfId="3756" priority="290" stopIfTrue="1" operator="between">
      <formula>35.1</formula>
      <formula>80</formula>
    </cfRule>
    <cfRule type="cellIs" dxfId="3755" priority="291" stopIfTrue="1" operator="between">
      <formula>14.1</formula>
      <formula>35</formula>
    </cfRule>
    <cfRule type="cellIs" dxfId="3754" priority="292" stopIfTrue="1" operator="between">
      <formula>5.1</formula>
      <formula>14</formula>
    </cfRule>
    <cfRule type="cellIs" dxfId="3753" priority="293" stopIfTrue="1" operator="between">
      <formula>0</formula>
      <formula>5</formula>
    </cfRule>
    <cfRule type="containsBlanks" dxfId="3752" priority="294" stopIfTrue="1">
      <formula>LEN(TRIM(E54))=0</formula>
    </cfRule>
  </conditionalFormatting>
  <conditionalFormatting sqref="M55:P55">
    <cfRule type="containsBlanks" dxfId="3751" priority="281" stopIfTrue="1">
      <formula>LEN(TRIM(M55))=0</formula>
    </cfRule>
    <cfRule type="cellIs" dxfId="3750" priority="282" stopIfTrue="1" operator="between">
      <formula>80.1</formula>
      <formula>100</formula>
    </cfRule>
    <cfRule type="cellIs" dxfId="3749" priority="283" stopIfTrue="1" operator="between">
      <formula>35.1</formula>
      <formula>80</formula>
    </cfRule>
    <cfRule type="cellIs" dxfId="3748" priority="284" stopIfTrue="1" operator="between">
      <formula>14.1</formula>
      <formula>35</formula>
    </cfRule>
    <cfRule type="cellIs" dxfId="3747" priority="285" stopIfTrue="1" operator="between">
      <formula>5.1</formula>
      <formula>14</formula>
    </cfRule>
    <cfRule type="cellIs" dxfId="3746" priority="286" stopIfTrue="1" operator="between">
      <formula>0</formula>
      <formula>5</formula>
    </cfRule>
    <cfRule type="containsBlanks" dxfId="3745" priority="287" stopIfTrue="1">
      <formula>LEN(TRIM(M55))=0</formula>
    </cfRule>
  </conditionalFormatting>
  <conditionalFormatting sqref="E55:L55">
    <cfRule type="containsBlanks" dxfId="3744" priority="274" stopIfTrue="1">
      <formula>LEN(TRIM(E55))=0</formula>
    </cfRule>
    <cfRule type="cellIs" dxfId="3743" priority="275" stopIfTrue="1" operator="between">
      <formula>80.1</formula>
      <formula>100</formula>
    </cfRule>
    <cfRule type="cellIs" dxfId="3742" priority="276" stopIfTrue="1" operator="between">
      <formula>35.1</formula>
      <formula>80</formula>
    </cfRule>
    <cfRule type="cellIs" dxfId="3741" priority="277" stopIfTrue="1" operator="between">
      <formula>14.1</formula>
      <formula>35</formula>
    </cfRule>
    <cfRule type="cellIs" dxfId="3740" priority="278" stopIfTrue="1" operator="between">
      <formula>5.1</formula>
      <formula>14</formula>
    </cfRule>
    <cfRule type="cellIs" dxfId="3739" priority="279" stopIfTrue="1" operator="between">
      <formula>0</formula>
      <formula>5</formula>
    </cfRule>
    <cfRule type="containsBlanks" dxfId="3738" priority="280" stopIfTrue="1">
      <formula>LEN(TRIM(E55))=0</formula>
    </cfRule>
  </conditionalFormatting>
  <conditionalFormatting sqref="M57:P57">
    <cfRule type="containsBlanks" dxfId="3737" priority="267" stopIfTrue="1">
      <formula>LEN(TRIM(M57))=0</formula>
    </cfRule>
    <cfRule type="cellIs" dxfId="3736" priority="268" stopIfTrue="1" operator="between">
      <formula>80.1</formula>
      <formula>100</formula>
    </cfRule>
    <cfRule type="cellIs" dxfId="3735" priority="269" stopIfTrue="1" operator="between">
      <formula>35.1</formula>
      <formula>80</formula>
    </cfRule>
    <cfRule type="cellIs" dxfId="3734" priority="270" stopIfTrue="1" operator="between">
      <formula>14.1</formula>
      <formula>35</formula>
    </cfRule>
    <cfRule type="cellIs" dxfId="3733" priority="271" stopIfTrue="1" operator="between">
      <formula>5.1</formula>
      <formula>14</formula>
    </cfRule>
    <cfRule type="cellIs" dxfId="3732" priority="272" stopIfTrue="1" operator="between">
      <formula>0</formula>
      <formula>5</formula>
    </cfRule>
    <cfRule type="containsBlanks" dxfId="3731" priority="273" stopIfTrue="1">
      <formula>LEN(TRIM(M57))=0</formula>
    </cfRule>
  </conditionalFormatting>
  <conditionalFormatting sqref="E57:L57">
    <cfRule type="containsBlanks" dxfId="3730" priority="260" stopIfTrue="1">
      <formula>LEN(TRIM(E57))=0</formula>
    </cfRule>
    <cfRule type="cellIs" dxfId="3729" priority="261" stopIfTrue="1" operator="between">
      <formula>80.1</formula>
      <formula>100</formula>
    </cfRule>
    <cfRule type="cellIs" dxfId="3728" priority="262" stopIfTrue="1" operator="between">
      <formula>35.1</formula>
      <formula>80</formula>
    </cfRule>
    <cfRule type="cellIs" dxfId="3727" priority="263" stopIfTrue="1" operator="between">
      <formula>14.1</formula>
      <formula>35</formula>
    </cfRule>
    <cfRule type="cellIs" dxfId="3726" priority="264" stopIfTrue="1" operator="between">
      <formula>5.1</formula>
      <formula>14</formula>
    </cfRule>
    <cfRule type="cellIs" dxfId="3725" priority="265" stopIfTrue="1" operator="between">
      <formula>0</formula>
      <formula>5</formula>
    </cfRule>
    <cfRule type="containsBlanks" dxfId="3724" priority="266" stopIfTrue="1">
      <formula>LEN(TRIM(E57))=0</formula>
    </cfRule>
  </conditionalFormatting>
  <conditionalFormatting sqref="M56:P56">
    <cfRule type="containsBlanks" dxfId="3723" priority="253" stopIfTrue="1">
      <formula>LEN(TRIM(M56))=0</formula>
    </cfRule>
    <cfRule type="cellIs" dxfId="3722" priority="254" stopIfTrue="1" operator="between">
      <formula>80.1</formula>
      <formula>100</formula>
    </cfRule>
    <cfRule type="cellIs" dxfId="3721" priority="255" stopIfTrue="1" operator="between">
      <formula>35.1</formula>
      <formula>80</formula>
    </cfRule>
    <cfRule type="cellIs" dxfId="3720" priority="256" stopIfTrue="1" operator="between">
      <formula>14.1</formula>
      <formula>35</formula>
    </cfRule>
    <cfRule type="cellIs" dxfId="3719" priority="257" stopIfTrue="1" operator="between">
      <formula>5.1</formula>
      <formula>14</formula>
    </cfRule>
    <cfRule type="cellIs" dxfId="3718" priority="258" stopIfTrue="1" operator="between">
      <formula>0</formula>
      <formula>5</formula>
    </cfRule>
    <cfRule type="containsBlanks" dxfId="3717" priority="259" stopIfTrue="1">
      <formula>LEN(TRIM(M56))=0</formula>
    </cfRule>
  </conditionalFormatting>
  <conditionalFormatting sqref="E56:L56">
    <cfRule type="containsBlanks" dxfId="3716" priority="246" stopIfTrue="1">
      <formula>LEN(TRIM(E56))=0</formula>
    </cfRule>
    <cfRule type="cellIs" dxfId="3715" priority="247" stopIfTrue="1" operator="between">
      <formula>80.1</formula>
      <formula>100</formula>
    </cfRule>
    <cfRule type="cellIs" dxfId="3714" priority="248" stopIfTrue="1" operator="between">
      <formula>35.1</formula>
      <formula>80</formula>
    </cfRule>
    <cfRule type="cellIs" dxfId="3713" priority="249" stopIfTrue="1" operator="between">
      <formula>14.1</formula>
      <formula>35</formula>
    </cfRule>
    <cfRule type="cellIs" dxfId="3712" priority="250" stopIfTrue="1" operator="between">
      <formula>5.1</formula>
      <formula>14</formula>
    </cfRule>
    <cfRule type="cellIs" dxfId="3711" priority="251" stopIfTrue="1" operator="between">
      <formula>0</formula>
      <formula>5</formula>
    </cfRule>
    <cfRule type="containsBlanks" dxfId="3710" priority="252" stopIfTrue="1">
      <formula>LEN(TRIM(E56))=0</formula>
    </cfRule>
  </conditionalFormatting>
  <conditionalFormatting sqref="M53:P53">
    <cfRule type="containsBlanks" dxfId="3709" priority="239" stopIfTrue="1">
      <formula>LEN(TRIM(M53))=0</formula>
    </cfRule>
    <cfRule type="cellIs" dxfId="3708" priority="240" stopIfTrue="1" operator="between">
      <formula>80.1</formula>
      <formula>100</formula>
    </cfRule>
    <cfRule type="cellIs" dxfId="3707" priority="241" stopIfTrue="1" operator="between">
      <formula>35.1</formula>
      <formula>80</formula>
    </cfRule>
    <cfRule type="cellIs" dxfId="3706" priority="242" stopIfTrue="1" operator="between">
      <formula>14.1</formula>
      <formula>35</formula>
    </cfRule>
    <cfRule type="cellIs" dxfId="3705" priority="243" stopIfTrue="1" operator="between">
      <formula>5.1</formula>
      <formula>14</formula>
    </cfRule>
    <cfRule type="cellIs" dxfId="3704" priority="244" stopIfTrue="1" operator="between">
      <formula>0</formula>
      <formula>5</formula>
    </cfRule>
    <cfRule type="containsBlanks" dxfId="3703" priority="245" stopIfTrue="1">
      <formula>LEN(TRIM(M53))=0</formula>
    </cfRule>
  </conditionalFormatting>
  <conditionalFormatting sqref="E53:L53">
    <cfRule type="containsBlanks" dxfId="3702" priority="232" stopIfTrue="1">
      <formula>LEN(TRIM(E53))=0</formula>
    </cfRule>
    <cfRule type="cellIs" dxfId="3701" priority="233" stopIfTrue="1" operator="between">
      <formula>80.1</formula>
      <formula>100</formula>
    </cfRule>
    <cfRule type="cellIs" dxfId="3700" priority="234" stopIfTrue="1" operator="between">
      <formula>35.1</formula>
      <formula>80</formula>
    </cfRule>
    <cfRule type="cellIs" dxfId="3699" priority="235" stopIfTrue="1" operator="between">
      <formula>14.1</formula>
      <formula>35</formula>
    </cfRule>
    <cfRule type="cellIs" dxfId="3698" priority="236" stopIfTrue="1" operator="between">
      <formula>5.1</formula>
      <formula>14</formula>
    </cfRule>
    <cfRule type="cellIs" dxfId="3697" priority="237" stopIfTrue="1" operator="between">
      <formula>0</formula>
      <formula>5</formula>
    </cfRule>
    <cfRule type="containsBlanks" dxfId="3696" priority="238" stopIfTrue="1">
      <formula>LEN(TRIM(E53))=0</formula>
    </cfRule>
  </conditionalFormatting>
  <conditionalFormatting sqref="M51:P51">
    <cfRule type="containsBlanks" dxfId="3695" priority="225" stopIfTrue="1">
      <formula>LEN(TRIM(M51))=0</formula>
    </cfRule>
    <cfRule type="cellIs" dxfId="3694" priority="226" stopIfTrue="1" operator="between">
      <formula>80.1</formula>
      <formula>100</formula>
    </cfRule>
    <cfRule type="cellIs" dxfId="3693" priority="227" stopIfTrue="1" operator="between">
      <formula>35.1</formula>
      <formula>80</formula>
    </cfRule>
    <cfRule type="cellIs" dxfId="3692" priority="228" stopIfTrue="1" operator="between">
      <formula>14.1</formula>
      <formula>35</formula>
    </cfRule>
    <cfRule type="cellIs" dxfId="3691" priority="229" stopIfTrue="1" operator="between">
      <formula>5.1</formula>
      <formula>14</formula>
    </cfRule>
    <cfRule type="cellIs" dxfId="3690" priority="230" stopIfTrue="1" operator="between">
      <formula>0</formula>
      <formula>5</formula>
    </cfRule>
    <cfRule type="containsBlanks" dxfId="3689" priority="231" stopIfTrue="1">
      <formula>LEN(TRIM(M51))=0</formula>
    </cfRule>
  </conditionalFormatting>
  <conditionalFormatting sqref="E51:L51">
    <cfRule type="containsBlanks" dxfId="3688" priority="218" stopIfTrue="1">
      <formula>LEN(TRIM(E51))=0</formula>
    </cfRule>
    <cfRule type="cellIs" dxfId="3687" priority="219" stopIfTrue="1" operator="between">
      <formula>80.1</formula>
      <formula>100</formula>
    </cfRule>
    <cfRule type="cellIs" dxfId="3686" priority="220" stopIfTrue="1" operator="between">
      <formula>35.1</formula>
      <formula>80</formula>
    </cfRule>
    <cfRule type="cellIs" dxfId="3685" priority="221" stopIfTrue="1" operator="between">
      <formula>14.1</formula>
      <formula>35</formula>
    </cfRule>
    <cfRule type="cellIs" dxfId="3684" priority="222" stopIfTrue="1" operator="between">
      <formula>5.1</formula>
      <formula>14</formula>
    </cfRule>
    <cfRule type="cellIs" dxfId="3683" priority="223" stopIfTrue="1" operator="between">
      <formula>0</formula>
      <formula>5</formula>
    </cfRule>
    <cfRule type="containsBlanks" dxfId="3682" priority="224" stopIfTrue="1">
      <formula>LEN(TRIM(E51))=0</formula>
    </cfRule>
  </conditionalFormatting>
  <conditionalFormatting sqref="M42:P42">
    <cfRule type="containsBlanks" dxfId="3681" priority="211" stopIfTrue="1">
      <formula>LEN(TRIM(M42))=0</formula>
    </cfRule>
    <cfRule type="cellIs" dxfId="3680" priority="212" stopIfTrue="1" operator="between">
      <formula>80.1</formula>
      <formula>100</formula>
    </cfRule>
    <cfRule type="cellIs" dxfId="3679" priority="213" stopIfTrue="1" operator="between">
      <formula>35.1</formula>
      <formula>80</formula>
    </cfRule>
    <cfRule type="cellIs" dxfId="3678" priority="214" stopIfTrue="1" operator="between">
      <formula>14.1</formula>
      <formula>35</formula>
    </cfRule>
    <cfRule type="cellIs" dxfId="3677" priority="215" stopIfTrue="1" operator="between">
      <formula>5.1</formula>
      <formula>14</formula>
    </cfRule>
    <cfRule type="cellIs" dxfId="3676" priority="216" stopIfTrue="1" operator="between">
      <formula>0</formula>
      <formula>5</formula>
    </cfRule>
    <cfRule type="containsBlanks" dxfId="3675" priority="217" stopIfTrue="1">
      <formula>LEN(TRIM(M42))=0</formula>
    </cfRule>
  </conditionalFormatting>
  <conditionalFormatting sqref="E42:L42">
    <cfRule type="containsBlanks" dxfId="3674" priority="204" stopIfTrue="1">
      <formula>LEN(TRIM(E42))=0</formula>
    </cfRule>
    <cfRule type="cellIs" dxfId="3673" priority="205" stopIfTrue="1" operator="between">
      <formula>80.1</formula>
      <formula>100</formula>
    </cfRule>
    <cfRule type="cellIs" dxfId="3672" priority="206" stopIfTrue="1" operator="between">
      <formula>35.1</formula>
      <formula>80</formula>
    </cfRule>
    <cfRule type="cellIs" dxfId="3671" priority="207" stopIfTrue="1" operator="between">
      <formula>14.1</formula>
      <formula>35</formula>
    </cfRule>
    <cfRule type="cellIs" dxfId="3670" priority="208" stopIfTrue="1" operator="between">
      <formula>5.1</formula>
      <formula>14</formula>
    </cfRule>
    <cfRule type="cellIs" dxfId="3669" priority="209" stopIfTrue="1" operator="between">
      <formula>0</formula>
      <formula>5</formula>
    </cfRule>
    <cfRule type="containsBlanks" dxfId="3668" priority="210" stopIfTrue="1">
      <formula>LEN(TRIM(E42))=0</formula>
    </cfRule>
  </conditionalFormatting>
  <conditionalFormatting sqref="M49:P49">
    <cfRule type="containsBlanks" dxfId="3667" priority="197" stopIfTrue="1">
      <formula>LEN(TRIM(M49))=0</formula>
    </cfRule>
    <cfRule type="cellIs" dxfId="3666" priority="198" stopIfTrue="1" operator="between">
      <formula>80.1</formula>
      <formula>100</formula>
    </cfRule>
    <cfRule type="cellIs" dxfId="3665" priority="199" stopIfTrue="1" operator="between">
      <formula>35.1</formula>
      <formula>80</formula>
    </cfRule>
    <cfRule type="cellIs" dxfId="3664" priority="200" stopIfTrue="1" operator="between">
      <formula>14.1</formula>
      <formula>35</formula>
    </cfRule>
    <cfRule type="cellIs" dxfId="3663" priority="201" stopIfTrue="1" operator="between">
      <formula>5.1</formula>
      <formula>14</formula>
    </cfRule>
    <cfRule type="cellIs" dxfId="3662" priority="202" stopIfTrue="1" operator="between">
      <formula>0</formula>
      <formula>5</formula>
    </cfRule>
    <cfRule type="containsBlanks" dxfId="3661" priority="203" stopIfTrue="1">
      <formula>LEN(TRIM(M49))=0</formula>
    </cfRule>
  </conditionalFormatting>
  <conditionalFormatting sqref="E49:L49">
    <cfRule type="containsBlanks" dxfId="3660" priority="190" stopIfTrue="1">
      <formula>LEN(TRIM(E49))=0</formula>
    </cfRule>
    <cfRule type="cellIs" dxfId="3659" priority="191" stopIfTrue="1" operator="between">
      <formula>80.1</formula>
      <formula>100</formula>
    </cfRule>
    <cfRule type="cellIs" dxfId="3658" priority="192" stopIfTrue="1" operator="between">
      <formula>35.1</formula>
      <formula>80</formula>
    </cfRule>
    <cfRule type="cellIs" dxfId="3657" priority="193" stopIfTrue="1" operator="between">
      <formula>14.1</formula>
      <formula>35</formula>
    </cfRule>
    <cfRule type="cellIs" dxfId="3656" priority="194" stopIfTrue="1" operator="between">
      <formula>5.1</formula>
      <formula>14</formula>
    </cfRule>
    <cfRule type="cellIs" dxfId="3655" priority="195" stopIfTrue="1" operator="between">
      <formula>0</formula>
      <formula>5</formula>
    </cfRule>
    <cfRule type="containsBlanks" dxfId="3654" priority="196" stopIfTrue="1">
      <formula>LEN(TRIM(E49))=0</formula>
    </cfRule>
  </conditionalFormatting>
  <conditionalFormatting sqref="M40:P40">
    <cfRule type="containsBlanks" dxfId="3653" priority="183" stopIfTrue="1">
      <formula>LEN(TRIM(M40))=0</formula>
    </cfRule>
    <cfRule type="cellIs" dxfId="3652" priority="184" stopIfTrue="1" operator="between">
      <formula>80.1</formula>
      <formula>100</formula>
    </cfRule>
    <cfRule type="cellIs" dxfId="3651" priority="185" stopIfTrue="1" operator="between">
      <formula>35.1</formula>
      <formula>80</formula>
    </cfRule>
    <cfRule type="cellIs" dxfId="3650" priority="186" stopIfTrue="1" operator="between">
      <formula>14.1</formula>
      <formula>35</formula>
    </cfRule>
    <cfRule type="cellIs" dxfId="3649" priority="187" stopIfTrue="1" operator="between">
      <formula>5.1</formula>
      <formula>14</formula>
    </cfRule>
    <cfRule type="cellIs" dxfId="3648" priority="188" stopIfTrue="1" operator="between">
      <formula>0</formula>
      <formula>5</formula>
    </cfRule>
    <cfRule type="containsBlanks" dxfId="3647" priority="189" stopIfTrue="1">
      <formula>LEN(TRIM(M40))=0</formula>
    </cfRule>
  </conditionalFormatting>
  <conditionalFormatting sqref="E40:L40">
    <cfRule type="containsBlanks" dxfId="3646" priority="176" stopIfTrue="1">
      <formula>LEN(TRIM(E40))=0</formula>
    </cfRule>
    <cfRule type="cellIs" dxfId="3645" priority="177" stopIfTrue="1" operator="between">
      <formula>80.1</formula>
      <formula>100</formula>
    </cfRule>
    <cfRule type="cellIs" dxfId="3644" priority="178" stopIfTrue="1" operator="between">
      <formula>35.1</formula>
      <formula>80</formula>
    </cfRule>
    <cfRule type="cellIs" dxfId="3643" priority="179" stopIfTrue="1" operator="between">
      <formula>14.1</formula>
      <formula>35</formula>
    </cfRule>
    <cfRule type="cellIs" dxfId="3642" priority="180" stopIfTrue="1" operator="between">
      <formula>5.1</formula>
      <formula>14</formula>
    </cfRule>
    <cfRule type="cellIs" dxfId="3641" priority="181" stopIfTrue="1" operator="between">
      <formula>0</formula>
      <formula>5</formula>
    </cfRule>
    <cfRule type="containsBlanks" dxfId="3640" priority="182" stopIfTrue="1">
      <formula>LEN(TRIM(E40))=0</formula>
    </cfRule>
  </conditionalFormatting>
  <conditionalFormatting sqref="E50:P50">
    <cfRule type="containsBlanks" dxfId="3639" priority="169" stopIfTrue="1">
      <formula>LEN(TRIM(E50))=0</formula>
    </cfRule>
    <cfRule type="cellIs" dxfId="3638" priority="170" stopIfTrue="1" operator="between">
      <formula>80.1</formula>
      <formula>100</formula>
    </cfRule>
    <cfRule type="cellIs" dxfId="3637" priority="171" stopIfTrue="1" operator="between">
      <formula>35.1</formula>
      <formula>80</formula>
    </cfRule>
    <cfRule type="cellIs" dxfId="3636" priority="172" stopIfTrue="1" operator="between">
      <formula>14.1</formula>
      <formula>35</formula>
    </cfRule>
    <cfRule type="cellIs" dxfId="3635" priority="173" stopIfTrue="1" operator="between">
      <formula>5.1</formula>
      <formula>14</formula>
    </cfRule>
    <cfRule type="cellIs" dxfId="3634" priority="174" stopIfTrue="1" operator="between">
      <formula>0</formula>
      <formula>5</formula>
    </cfRule>
    <cfRule type="containsBlanks" dxfId="3633" priority="175" stopIfTrue="1">
      <formula>LEN(TRIM(E50))=0</formula>
    </cfRule>
  </conditionalFormatting>
  <conditionalFormatting sqref="E47:P47">
    <cfRule type="containsBlanks" dxfId="3632" priority="162" stopIfTrue="1">
      <formula>LEN(TRIM(E47))=0</formula>
    </cfRule>
    <cfRule type="cellIs" dxfId="3631" priority="163" stopIfTrue="1" operator="between">
      <formula>80.1</formula>
      <formula>100</formula>
    </cfRule>
    <cfRule type="cellIs" dxfId="3630" priority="164" stopIfTrue="1" operator="between">
      <formula>35.1</formula>
      <formula>80</formula>
    </cfRule>
    <cfRule type="cellIs" dxfId="3629" priority="165" stopIfTrue="1" operator="between">
      <formula>14.1</formula>
      <formula>35</formula>
    </cfRule>
    <cfRule type="cellIs" dxfId="3628" priority="166" stopIfTrue="1" operator="between">
      <formula>5.1</formula>
      <formula>14</formula>
    </cfRule>
    <cfRule type="cellIs" dxfId="3627" priority="167" stopIfTrue="1" operator="between">
      <formula>0</formula>
      <formula>5</formula>
    </cfRule>
    <cfRule type="containsBlanks" dxfId="3626" priority="168" stopIfTrue="1">
      <formula>LEN(TRIM(E47))=0</formula>
    </cfRule>
  </conditionalFormatting>
  <conditionalFormatting sqref="E48:P48">
    <cfRule type="containsBlanks" dxfId="3625" priority="155" stopIfTrue="1">
      <formula>LEN(TRIM(E48))=0</formula>
    </cfRule>
    <cfRule type="cellIs" dxfId="3624" priority="156" stopIfTrue="1" operator="between">
      <formula>80.1</formula>
      <formula>100</formula>
    </cfRule>
    <cfRule type="cellIs" dxfId="3623" priority="157" stopIfTrue="1" operator="between">
      <formula>35.1</formula>
      <formula>80</formula>
    </cfRule>
    <cfRule type="cellIs" dxfId="3622" priority="158" stopIfTrue="1" operator="between">
      <formula>14.1</formula>
      <formula>35</formula>
    </cfRule>
    <cfRule type="cellIs" dxfId="3621" priority="159" stopIfTrue="1" operator="between">
      <formula>5.1</formula>
      <formula>14</formula>
    </cfRule>
    <cfRule type="cellIs" dxfId="3620" priority="160" stopIfTrue="1" operator="between">
      <formula>0</formula>
      <formula>5</formula>
    </cfRule>
    <cfRule type="containsBlanks" dxfId="3619" priority="161" stopIfTrue="1">
      <formula>LEN(TRIM(E48))=0</formula>
    </cfRule>
  </conditionalFormatting>
  <conditionalFormatting sqref="E62:P62">
    <cfRule type="containsBlanks" dxfId="3618" priority="148" stopIfTrue="1">
      <formula>LEN(TRIM(E62))=0</formula>
    </cfRule>
    <cfRule type="cellIs" dxfId="3617" priority="149" stopIfTrue="1" operator="between">
      <formula>80.1</formula>
      <formula>100</formula>
    </cfRule>
    <cfRule type="cellIs" dxfId="3616" priority="150" stopIfTrue="1" operator="between">
      <formula>35.1</formula>
      <formula>80</formula>
    </cfRule>
    <cfRule type="cellIs" dxfId="3615" priority="151" stopIfTrue="1" operator="between">
      <formula>14.1</formula>
      <formula>35</formula>
    </cfRule>
    <cfRule type="cellIs" dxfId="3614" priority="152" stopIfTrue="1" operator="between">
      <formula>5.1</formula>
      <formula>14</formula>
    </cfRule>
    <cfRule type="cellIs" dxfId="3613" priority="153" stopIfTrue="1" operator="between">
      <formula>0</formula>
      <formula>5</formula>
    </cfRule>
    <cfRule type="containsBlanks" dxfId="3612" priority="154" stopIfTrue="1">
      <formula>LEN(TRIM(E62))=0</formula>
    </cfRule>
  </conditionalFormatting>
  <conditionalFormatting sqref="E46:P46">
    <cfRule type="containsBlanks" dxfId="3611" priority="141" stopIfTrue="1">
      <formula>LEN(TRIM(E46))=0</formula>
    </cfRule>
    <cfRule type="cellIs" dxfId="3610" priority="142" stopIfTrue="1" operator="between">
      <formula>80.1</formula>
      <formula>100</formula>
    </cfRule>
    <cfRule type="cellIs" dxfId="3609" priority="143" stopIfTrue="1" operator="between">
      <formula>35.1</formula>
      <formula>80</formula>
    </cfRule>
    <cfRule type="cellIs" dxfId="3608" priority="144" stopIfTrue="1" operator="between">
      <formula>14.1</formula>
      <formula>35</formula>
    </cfRule>
    <cfRule type="cellIs" dxfId="3607" priority="145" stopIfTrue="1" operator="between">
      <formula>5.1</formula>
      <formula>14</formula>
    </cfRule>
    <cfRule type="cellIs" dxfId="3606" priority="146" stopIfTrue="1" operator="between">
      <formula>0</formula>
      <formula>5</formula>
    </cfRule>
    <cfRule type="containsBlanks" dxfId="3605" priority="147" stopIfTrue="1">
      <formula>LEN(TRIM(E46))=0</formula>
    </cfRule>
  </conditionalFormatting>
  <conditionalFormatting sqref="E60:P60">
    <cfRule type="containsBlanks" dxfId="3604" priority="134" stopIfTrue="1">
      <formula>LEN(TRIM(E60))=0</formula>
    </cfRule>
    <cfRule type="cellIs" dxfId="3603" priority="135" stopIfTrue="1" operator="between">
      <formula>80.1</formula>
      <formula>100</formula>
    </cfRule>
    <cfRule type="cellIs" dxfId="3602" priority="136" stopIfTrue="1" operator="between">
      <formula>35.1</formula>
      <formula>80</formula>
    </cfRule>
    <cfRule type="cellIs" dxfId="3601" priority="137" stopIfTrue="1" operator="between">
      <formula>14.1</formula>
      <formula>35</formula>
    </cfRule>
    <cfRule type="cellIs" dxfId="3600" priority="138" stopIfTrue="1" operator="between">
      <formula>5.1</formula>
      <formula>14</formula>
    </cfRule>
    <cfRule type="cellIs" dxfId="3599" priority="139" stopIfTrue="1" operator="between">
      <formula>0</formula>
      <formula>5</formula>
    </cfRule>
    <cfRule type="containsBlanks" dxfId="3598" priority="140" stopIfTrue="1">
      <formula>LEN(TRIM(E60))=0</formula>
    </cfRule>
  </conditionalFormatting>
  <conditionalFormatting sqref="E61:P61">
    <cfRule type="containsBlanks" dxfId="3597" priority="127" stopIfTrue="1">
      <formula>LEN(TRIM(E61))=0</formula>
    </cfRule>
    <cfRule type="cellIs" dxfId="3596" priority="128" stopIfTrue="1" operator="between">
      <formula>80.1</formula>
      <formula>100</formula>
    </cfRule>
    <cfRule type="cellIs" dxfId="3595" priority="129" stopIfTrue="1" operator="between">
      <formula>35.1</formula>
      <formula>80</formula>
    </cfRule>
    <cfRule type="cellIs" dxfId="3594" priority="130" stopIfTrue="1" operator="between">
      <formula>14.1</formula>
      <formula>35</formula>
    </cfRule>
    <cfRule type="cellIs" dxfId="3593" priority="131" stopIfTrue="1" operator="between">
      <formula>5.1</formula>
      <formula>14</formula>
    </cfRule>
    <cfRule type="cellIs" dxfId="3592" priority="132" stopIfTrue="1" operator="between">
      <formula>0</formula>
      <formula>5</formula>
    </cfRule>
    <cfRule type="containsBlanks" dxfId="3591" priority="133" stopIfTrue="1">
      <formula>LEN(TRIM(E61))=0</formula>
    </cfRule>
  </conditionalFormatting>
  <conditionalFormatting sqref="E70:P70">
    <cfRule type="containsBlanks" dxfId="3590" priority="120" stopIfTrue="1">
      <formula>LEN(TRIM(E70))=0</formula>
    </cfRule>
    <cfRule type="cellIs" dxfId="3589" priority="121" stopIfTrue="1" operator="between">
      <formula>80.1</formula>
      <formula>100</formula>
    </cfRule>
    <cfRule type="cellIs" dxfId="3588" priority="122" stopIfTrue="1" operator="between">
      <formula>35.1</formula>
      <formula>80</formula>
    </cfRule>
    <cfRule type="cellIs" dxfId="3587" priority="123" stopIfTrue="1" operator="between">
      <formula>14.1</formula>
      <formula>35</formula>
    </cfRule>
    <cfRule type="cellIs" dxfId="3586" priority="124" stopIfTrue="1" operator="between">
      <formula>5.1</formula>
      <formula>14</formula>
    </cfRule>
    <cfRule type="cellIs" dxfId="3585" priority="125" stopIfTrue="1" operator="between">
      <formula>0</formula>
      <formula>5</formula>
    </cfRule>
    <cfRule type="containsBlanks" dxfId="3584" priority="126" stopIfTrue="1">
      <formula>LEN(TRIM(E70))=0</formula>
    </cfRule>
  </conditionalFormatting>
  <conditionalFormatting sqref="E77:P77">
    <cfRule type="containsBlanks" dxfId="3583" priority="113" stopIfTrue="1">
      <formula>LEN(TRIM(E77))=0</formula>
    </cfRule>
    <cfRule type="cellIs" dxfId="3582" priority="114" stopIfTrue="1" operator="between">
      <formula>80.1</formula>
      <formula>100</formula>
    </cfRule>
    <cfRule type="cellIs" dxfId="3581" priority="115" stopIfTrue="1" operator="between">
      <formula>35.1</formula>
      <formula>80</formula>
    </cfRule>
    <cfRule type="cellIs" dxfId="3580" priority="116" stopIfTrue="1" operator="between">
      <formula>14.1</formula>
      <formula>35</formula>
    </cfRule>
    <cfRule type="cellIs" dxfId="3579" priority="117" stopIfTrue="1" operator="between">
      <formula>5.1</formula>
      <formula>14</formula>
    </cfRule>
    <cfRule type="cellIs" dxfId="3578" priority="118" stopIfTrue="1" operator="between">
      <formula>0</formula>
      <formula>5</formula>
    </cfRule>
    <cfRule type="containsBlanks" dxfId="3577" priority="119" stopIfTrue="1">
      <formula>LEN(TRIM(E77))=0</formula>
    </cfRule>
  </conditionalFormatting>
  <conditionalFormatting sqref="E76:P76">
    <cfRule type="containsBlanks" dxfId="3576" priority="106" stopIfTrue="1">
      <formula>LEN(TRIM(E76))=0</formula>
    </cfRule>
    <cfRule type="cellIs" dxfId="3575" priority="107" stopIfTrue="1" operator="between">
      <formula>80.1</formula>
      <formula>100</formula>
    </cfRule>
    <cfRule type="cellIs" dxfId="3574" priority="108" stopIfTrue="1" operator="between">
      <formula>35.1</formula>
      <formula>80</formula>
    </cfRule>
    <cfRule type="cellIs" dxfId="3573" priority="109" stopIfTrue="1" operator="between">
      <formula>14.1</formula>
      <formula>35</formula>
    </cfRule>
    <cfRule type="cellIs" dxfId="3572" priority="110" stopIfTrue="1" operator="between">
      <formula>5.1</formula>
      <formula>14</formula>
    </cfRule>
    <cfRule type="cellIs" dxfId="3571" priority="111" stopIfTrue="1" operator="between">
      <formula>0</formula>
      <formula>5</formula>
    </cfRule>
    <cfRule type="containsBlanks" dxfId="3570" priority="112" stopIfTrue="1">
      <formula>LEN(TRIM(E76))=0</formula>
    </cfRule>
  </conditionalFormatting>
  <conditionalFormatting sqref="E82:P82">
    <cfRule type="containsBlanks" dxfId="3569" priority="99" stopIfTrue="1">
      <formula>LEN(TRIM(E82))=0</formula>
    </cfRule>
    <cfRule type="cellIs" dxfId="3568" priority="100" stopIfTrue="1" operator="between">
      <formula>80.1</formula>
      <formula>100</formula>
    </cfRule>
    <cfRule type="cellIs" dxfId="3567" priority="101" stopIfTrue="1" operator="between">
      <formula>35.1</formula>
      <formula>80</formula>
    </cfRule>
    <cfRule type="cellIs" dxfId="3566" priority="102" stopIfTrue="1" operator="between">
      <formula>14.1</formula>
      <formula>35</formula>
    </cfRule>
    <cfRule type="cellIs" dxfId="3565" priority="103" stopIfTrue="1" operator="between">
      <formula>5.1</formula>
      <formula>14</formula>
    </cfRule>
    <cfRule type="cellIs" dxfId="3564" priority="104" stopIfTrue="1" operator="between">
      <formula>0</formula>
      <formula>5</formula>
    </cfRule>
    <cfRule type="containsBlanks" dxfId="3563" priority="105" stopIfTrue="1">
      <formula>LEN(TRIM(E82))=0</formula>
    </cfRule>
  </conditionalFormatting>
  <conditionalFormatting sqref="E79:P79">
    <cfRule type="containsBlanks" dxfId="3562" priority="92" stopIfTrue="1">
      <formula>LEN(TRIM(E79))=0</formula>
    </cfRule>
    <cfRule type="cellIs" dxfId="3561" priority="93" stopIfTrue="1" operator="between">
      <formula>80.1</formula>
      <formula>100</formula>
    </cfRule>
    <cfRule type="cellIs" dxfId="3560" priority="94" stopIfTrue="1" operator="between">
      <formula>35.1</formula>
      <formula>80</formula>
    </cfRule>
    <cfRule type="cellIs" dxfId="3559" priority="95" stopIfTrue="1" operator="between">
      <formula>14.1</formula>
      <formula>35</formula>
    </cfRule>
    <cfRule type="cellIs" dxfId="3558" priority="96" stopIfTrue="1" operator="between">
      <formula>5.1</formula>
      <formula>14</formula>
    </cfRule>
    <cfRule type="cellIs" dxfId="3557" priority="97" stopIfTrue="1" operator="between">
      <formula>0</formula>
      <formula>5</formula>
    </cfRule>
    <cfRule type="containsBlanks" dxfId="3556" priority="98" stopIfTrue="1">
      <formula>LEN(TRIM(E79))=0</formula>
    </cfRule>
  </conditionalFormatting>
  <conditionalFormatting sqref="E73:P73">
    <cfRule type="containsBlanks" dxfId="3555" priority="85" stopIfTrue="1">
      <formula>LEN(TRIM(E73))=0</formula>
    </cfRule>
    <cfRule type="cellIs" dxfId="3554" priority="86" stopIfTrue="1" operator="between">
      <formula>80.1</formula>
      <formula>100</formula>
    </cfRule>
    <cfRule type="cellIs" dxfId="3553" priority="87" stopIfTrue="1" operator="between">
      <formula>35.1</formula>
      <formula>80</formula>
    </cfRule>
    <cfRule type="cellIs" dxfId="3552" priority="88" stopIfTrue="1" operator="between">
      <formula>14.1</formula>
      <formula>35</formula>
    </cfRule>
    <cfRule type="cellIs" dxfId="3551" priority="89" stopIfTrue="1" operator="between">
      <formula>5.1</formula>
      <formula>14</formula>
    </cfRule>
    <cfRule type="cellIs" dxfId="3550" priority="90" stopIfTrue="1" operator="between">
      <formula>0</formula>
      <formula>5</formula>
    </cfRule>
    <cfRule type="containsBlanks" dxfId="3549" priority="91" stopIfTrue="1">
      <formula>LEN(TRIM(E73))=0</formula>
    </cfRule>
  </conditionalFormatting>
  <conditionalFormatting sqref="E80:P80">
    <cfRule type="containsBlanks" dxfId="3548" priority="78" stopIfTrue="1">
      <formula>LEN(TRIM(E80))=0</formula>
    </cfRule>
    <cfRule type="cellIs" dxfId="3547" priority="79" stopIfTrue="1" operator="between">
      <formula>80.1</formula>
      <formula>100</formula>
    </cfRule>
    <cfRule type="cellIs" dxfId="3546" priority="80" stopIfTrue="1" operator="between">
      <formula>35.1</formula>
      <formula>80</formula>
    </cfRule>
    <cfRule type="cellIs" dxfId="3545" priority="81" stopIfTrue="1" operator="between">
      <formula>14.1</formula>
      <formula>35</formula>
    </cfRule>
    <cfRule type="cellIs" dxfId="3544" priority="82" stopIfTrue="1" operator="between">
      <formula>5.1</formula>
      <formula>14</formula>
    </cfRule>
    <cfRule type="cellIs" dxfId="3543" priority="83" stopIfTrue="1" operator="between">
      <formula>0</formula>
      <formula>5</formula>
    </cfRule>
    <cfRule type="containsBlanks" dxfId="3542" priority="84" stopIfTrue="1">
      <formula>LEN(TRIM(E80))=0</formula>
    </cfRule>
  </conditionalFormatting>
  <conditionalFormatting sqref="E72:P72">
    <cfRule type="containsBlanks" dxfId="3541" priority="71" stopIfTrue="1">
      <formula>LEN(TRIM(E72))=0</formula>
    </cfRule>
    <cfRule type="cellIs" dxfId="3540" priority="72" stopIfTrue="1" operator="between">
      <formula>80.1</formula>
      <formula>100</formula>
    </cfRule>
    <cfRule type="cellIs" dxfId="3539" priority="73" stopIfTrue="1" operator="between">
      <formula>35.1</formula>
      <formula>80</formula>
    </cfRule>
    <cfRule type="cellIs" dxfId="3538" priority="74" stopIfTrue="1" operator="between">
      <formula>14.1</formula>
      <formula>35</formula>
    </cfRule>
    <cfRule type="cellIs" dxfId="3537" priority="75" stopIfTrue="1" operator="between">
      <formula>5.1</formula>
      <formula>14</formula>
    </cfRule>
    <cfRule type="cellIs" dxfId="3536" priority="76" stopIfTrue="1" operator="between">
      <formula>0</formula>
      <formula>5</formula>
    </cfRule>
    <cfRule type="containsBlanks" dxfId="3535" priority="77" stopIfTrue="1">
      <formula>LEN(TRIM(E72))=0</formula>
    </cfRule>
  </conditionalFormatting>
  <conditionalFormatting sqref="E67:P67">
    <cfRule type="containsBlanks" dxfId="3534" priority="64" stopIfTrue="1">
      <formula>LEN(TRIM(E67))=0</formula>
    </cfRule>
    <cfRule type="cellIs" dxfId="3533" priority="65" stopIfTrue="1" operator="between">
      <formula>80.1</formula>
      <formula>100</formula>
    </cfRule>
    <cfRule type="cellIs" dxfId="3532" priority="66" stopIfTrue="1" operator="between">
      <formula>35.1</formula>
      <formula>80</formula>
    </cfRule>
    <cfRule type="cellIs" dxfId="3531" priority="67" stopIfTrue="1" operator="between">
      <formula>14.1</formula>
      <formula>35</formula>
    </cfRule>
    <cfRule type="cellIs" dxfId="3530" priority="68" stopIfTrue="1" operator="between">
      <formula>5.1</formula>
      <formula>14</formula>
    </cfRule>
    <cfRule type="cellIs" dxfId="3529" priority="69" stopIfTrue="1" operator="between">
      <formula>0</formula>
      <formula>5</formula>
    </cfRule>
    <cfRule type="containsBlanks" dxfId="3528" priority="70" stopIfTrue="1">
      <formula>LEN(TRIM(E67))=0</formula>
    </cfRule>
  </conditionalFormatting>
  <conditionalFormatting sqref="E74:P74">
    <cfRule type="containsBlanks" dxfId="3527" priority="57" stopIfTrue="1">
      <formula>LEN(TRIM(E74))=0</formula>
    </cfRule>
    <cfRule type="cellIs" dxfId="3526" priority="58" stopIfTrue="1" operator="between">
      <formula>80.1</formula>
      <formula>100</formula>
    </cfRule>
    <cfRule type="cellIs" dxfId="3525" priority="59" stopIfTrue="1" operator="between">
      <formula>35.1</formula>
      <formula>80</formula>
    </cfRule>
    <cfRule type="cellIs" dxfId="3524" priority="60" stopIfTrue="1" operator="between">
      <formula>14.1</formula>
      <formula>35</formula>
    </cfRule>
    <cfRule type="cellIs" dxfId="3523" priority="61" stopIfTrue="1" operator="between">
      <formula>5.1</formula>
      <formula>14</formula>
    </cfRule>
    <cfRule type="cellIs" dxfId="3522" priority="62" stopIfTrue="1" operator="between">
      <formula>0</formula>
      <formula>5</formula>
    </cfRule>
    <cfRule type="containsBlanks" dxfId="3521" priority="63" stopIfTrue="1">
      <formula>LEN(TRIM(E74))=0</formula>
    </cfRule>
  </conditionalFormatting>
  <conditionalFormatting sqref="E78:P78">
    <cfRule type="containsBlanks" dxfId="3520" priority="50" stopIfTrue="1">
      <formula>LEN(TRIM(E78))=0</formula>
    </cfRule>
    <cfRule type="cellIs" dxfId="3519" priority="51" stopIfTrue="1" operator="between">
      <formula>80.1</formula>
      <formula>100</formula>
    </cfRule>
    <cfRule type="cellIs" dxfId="3518" priority="52" stopIfTrue="1" operator="between">
      <formula>35.1</formula>
      <formula>80</formula>
    </cfRule>
    <cfRule type="cellIs" dxfId="3517" priority="53" stopIfTrue="1" operator="between">
      <formula>14.1</formula>
      <formula>35</formula>
    </cfRule>
    <cfRule type="cellIs" dxfId="3516" priority="54" stopIfTrue="1" operator="between">
      <formula>5.1</formula>
      <formula>14</formula>
    </cfRule>
    <cfRule type="cellIs" dxfId="3515" priority="55" stopIfTrue="1" operator="between">
      <formula>0</formula>
      <formula>5</formula>
    </cfRule>
    <cfRule type="containsBlanks" dxfId="3514" priority="56" stopIfTrue="1">
      <formula>LEN(TRIM(E78))=0</formula>
    </cfRule>
  </conditionalFormatting>
  <conditionalFormatting sqref="J75:P75">
    <cfRule type="containsBlanks" dxfId="3513" priority="43" stopIfTrue="1">
      <formula>LEN(TRIM(J75))=0</formula>
    </cfRule>
    <cfRule type="cellIs" dxfId="3512" priority="44" stopIfTrue="1" operator="between">
      <formula>80.1</formula>
      <formula>100</formula>
    </cfRule>
    <cfRule type="cellIs" dxfId="3511" priority="45" stopIfTrue="1" operator="between">
      <formula>35.1</formula>
      <formula>80</formula>
    </cfRule>
    <cfRule type="cellIs" dxfId="3510" priority="46" stopIfTrue="1" operator="between">
      <formula>14.1</formula>
      <formula>35</formula>
    </cfRule>
    <cfRule type="cellIs" dxfId="3509" priority="47" stopIfTrue="1" operator="between">
      <formula>5.1</formula>
      <formula>14</formula>
    </cfRule>
    <cfRule type="cellIs" dxfId="3508" priority="48" stopIfTrue="1" operator="between">
      <formula>0</formula>
      <formula>5</formula>
    </cfRule>
    <cfRule type="containsBlanks" dxfId="3507" priority="49" stopIfTrue="1">
      <formula>LEN(TRIM(J75))=0</formula>
    </cfRule>
  </conditionalFormatting>
  <conditionalFormatting sqref="E75:I75">
    <cfRule type="containsBlanks" dxfId="3506" priority="36" stopIfTrue="1">
      <formula>LEN(TRIM(E75))=0</formula>
    </cfRule>
    <cfRule type="cellIs" dxfId="3505" priority="37" stopIfTrue="1" operator="between">
      <formula>80.1</formula>
      <formula>100</formula>
    </cfRule>
    <cfRule type="cellIs" dxfId="3504" priority="38" stopIfTrue="1" operator="between">
      <formula>35.1</formula>
      <formula>80</formula>
    </cfRule>
    <cfRule type="cellIs" dxfId="3503" priority="39" stopIfTrue="1" operator="between">
      <formula>14.1</formula>
      <formula>35</formula>
    </cfRule>
    <cfRule type="cellIs" dxfId="3502" priority="40" stopIfTrue="1" operator="between">
      <formula>5.1</formula>
      <formula>14</formula>
    </cfRule>
    <cfRule type="cellIs" dxfId="3501" priority="41" stopIfTrue="1" operator="between">
      <formula>0</formula>
      <formula>5</formula>
    </cfRule>
    <cfRule type="containsBlanks" dxfId="3500" priority="42" stopIfTrue="1">
      <formula>LEN(TRIM(E75))=0</formula>
    </cfRule>
  </conditionalFormatting>
  <conditionalFormatting sqref="H71:P71">
    <cfRule type="containsBlanks" dxfId="3499" priority="29" stopIfTrue="1">
      <formula>LEN(TRIM(H71))=0</formula>
    </cfRule>
    <cfRule type="cellIs" dxfId="3498" priority="30" stopIfTrue="1" operator="between">
      <formula>80.1</formula>
      <formula>100</formula>
    </cfRule>
    <cfRule type="cellIs" dxfId="3497" priority="31" stopIfTrue="1" operator="between">
      <formula>35.1</formula>
      <formula>80</formula>
    </cfRule>
    <cfRule type="cellIs" dxfId="3496" priority="32" stopIfTrue="1" operator="between">
      <formula>14.1</formula>
      <formula>35</formula>
    </cfRule>
    <cfRule type="cellIs" dxfId="3495" priority="33" stopIfTrue="1" operator="between">
      <formula>5.1</formula>
      <formula>14</formula>
    </cfRule>
    <cfRule type="cellIs" dxfId="3494" priority="34" stopIfTrue="1" operator="between">
      <formula>0</formula>
      <formula>5</formula>
    </cfRule>
    <cfRule type="containsBlanks" dxfId="3493" priority="35" stopIfTrue="1">
      <formula>LEN(TRIM(H71))=0</formula>
    </cfRule>
  </conditionalFormatting>
  <conditionalFormatting sqref="E71:G71">
    <cfRule type="containsBlanks" dxfId="3492" priority="22" stopIfTrue="1">
      <formula>LEN(TRIM(E71))=0</formula>
    </cfRule>
    <cfRule type="cellIs" dxfId="3491" priority="23" stopIfTrue="1" operator="between">
      <formula>80.1</formula>
      <formula>100</formula>
    </cfRule>
    <cfRule type="cellIs" dxfId="3490" priority="24" stopIfTrue="1" operator="between">
      <formula>35.1</formula>
      <formula>80</formula>
    </cfRule>
    <cfRule type="cellIs" dxfId="3489" priority="25" stopIfTrue="1" operator="between">
      <formula>14.1</formula>
      <formula>35</formula>
    </cfRule>
    <cfRule type="cellIs" dxfId="3488" priority="26" stopIfTrue="1" operator="between">
      <formula>5.1</formula>
      <formula>14</formula>
    </cfRule>
    <cfRule type="cellIs" dxfId="3487" priority="27" stopIfTrue="1" operator="between">
      <formula>0</formula>
      <formula>5</formula>
    </cfRule>
    <cfRule type="containsBlanks" dxfId="3486" priority="28" stopIfTrue="1">
      <formula>LEN(TRIM(E71))=0</formula>
    </cfRule>
  </conditionalFormatting>
  <conditionalFormatting sqref="E66:P66">
    <cfRule type="containsBlanks" dxfId="3485" priority="15" stopIfTrue="1">
      <formula>LEN(TRIM(E66))=0</formula>
    </cfRule>
    <cfRule type="cellIs" dxfId="3484" priority="16" stopIfTrue="1" operator="between">
      <formula>80.1</formula>
      <formula>100</formula>
    </cfRule>
    <cfRule type="cellIs" dxfId="3483" priority="17" stopIfTrue="1" operator="between">
      <formula>35.1</formula>
      <formula>80</formula>
    </cfRule>
    <cfRule type="cellIs" dxfId="3482" priority="18" stopIfTrue="1" operator="between">
      <formula>14.1</formula>
      <formula>35</formula>
    </cfRule>
    <cfRule type="cellIs" dxfId="3481" priority="19" stopIfTrue="1" operator="between">
      <formula>5.1</formula>
      <formula>14</formula>
    </cfRule>
    <cfRule type="cellIs" dxfId="3480" priority="20" stopIfTrue="1" operator="between">
      <formula>0</formula>
      <formula>5</formula>
    </cfRule>
    <cfRule type="containsBlanks" dxfId="3479" priority="21" stopIfTrue="1">
      <formula>LEN(TRIM(E66))=0</formula>
    </cfRule>
  </conditionalFormatting>
  <conditionalFormatting sqref="E65:P65">
    <cfRule type="containsBlanks" dxfId="3478" priority="8" stopIfTrue="1">
      <formula>LEN(TRIM(E65))=0</formula>
    </cfRule>
    <cfRule type="cellIs" dxfId="3477" priority="9" stopIfTrue="1" operator="between">
      <formula>80.1</formula>
      <formula>100</formula>
    </cfRule>
    <cfRule type="cellIs" dxfId="3476" priority="10" stopIfTrue="1" operator="between">
      <formula>35.1</formula>
      <formula>80</formula>
    </cfRule>
    <cfRule type="cellIs" dxfId="3475" priority="11" stopIfTrue="1" operator="between">
      <formula>14.1</formula>
      <formula>35</formula>
    </cfRule>
    <cfRule type="cellIs" dxfId="3474" priority="12" stopIfTrue="1" operator="between">
      <formula>5.1</formula>
      <formula>14</formula>
    </cfRule>
    <cfRule type="cellIs" dxfId="3473" priority="13" stopIfTrue="1" operator="between">
      <formula>0</formula>
      <formula>5</formula>
    </cfRule>
    <cfRule type="containsBlanks" dxfId="3472" priority="14" stopIfTrue="1">
      <formula>LEN(TRIM(E65))=0</formula>
    </cfRule>
  </conditionalFormatting>
  <conditionalFormatting sqref="E81:P81">
    <cfRule type="containsBlanks" dxfId="3471" priority="1" stopIfTrue="1">
      <formula>LEN(TRIM(E81))=0</formula>
    </cfRule>
    <cfRule type="cellIs" dxfId="3470" priority="2" stopIfTrue="1" operator="between">
      <formula>80.1</formula>
      <formula>100</formula>
    </cfRule>
    <cfRule type="cellIs" dxfId="3469" priority="3" stopIfTrue="1" operator="between">
      <formula>35.1</formula>
      <formula>80</formula>
    </cfRule>
    <cfRule type="cellIs" dxfId="3468" priority="4" stopIfTrue="1" operator="between">
      <formula>14.1</formula>
      <formula>35</formula>
    </cfRule>
    <cfRule type="cellIs" dxfId="3467" priority="5" stopIfTrue="1" operator="between">
      <formula>5.1</formula>
      <formula>14</formula>
    </cfRule>
    <cfRule type="cellIs" dxfId="3466" priority="6" stopIfTrue="1" operator="between">
      <formula>0</formula>
      <formula>5</formula>
    </cfRule>
    <cfRule type="containsBlanks" dxfId="3465" priority="7" stopIfTrue="1">
      <formula>LEN(TRIM(E81))=0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W710"/>
  <sheetViews>
    <sheetView zoomScale="70" zoomScaleNormal="70" workbookViewId="0">
      <pane xSplit="3" ySplit="11" topLeftCell="D12" activePane="bottomRight" state="frozenSplit"/>
      <selection pane="topRight" activeCell="D1" sqref="D1"/>
      <selection pane="bottomLeft" activeCell="A12" sqref="A12"/>
      <selection pane="bottomRight" activeCell="C15" sqref="C14:C15"/>
    </sheetView>
  </sheetViews>
  <sheetFormatPr baseColWidth="10" defaultColWidth="0" defaultRowHeight="0" customHeight="1" zeroHeight="1"/>
  <cols>
    <col min="1" max="1" width="34" style="112" customWidth="1"/>
    <col min="2" max="2" width="40.28515625" style="123" customWidth="1"/>
    <col min="3" max="3" width="60" style="123" customWidth="1"/>
    <col min="4" max="4" width="21.85546875" style="124" customWidth="1"/>
    <col min="5" max="18" width="10.7109375" style="115" customWidth="1"/>
    <col min="19" max="19" width="42.28515625" style="115" bestFit="1" customWidth="1"/>
    <col min="20" max="20" width="9.85546875" style="115" hidden="1" customWidth="1"/>
    <col min="21" max="16384" width="11.42578125" style="115" hidden="1"/>
  </cols>
  <sheetData>
    <row r="1" spans="1:23" s="7" customFormat="1" ht="18" customHeight="1">
      <c r="A1" s="108"/>
      <c r="B1" s="695" t="s">
        <v>251</v>
      </c>
      <c r="C1" s="695"/>
      <c r="D1" s="69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39" t="s">
        <v>475</v>
      </c>
      <c r="T1" s="3"/>
      <c r="U1" s="5"/>
      <c r="V1" s="6"/>
      <c r="W1" s="6"/>
    </row>
    <row r="2" spans="1:23" s="9" customFormat="1" ht="18" customHeight="1">
      <c r="A2" s="108"/>
      <c r="B2" s="695" t="s">
        <v>4313</v>
      </c>
      <c r="C2" s="695"/>
      <c r="D2" s="6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88"/>
      <c r="S2" s="40" t="s">
        <v>252</v>
      </c>
      <c r="T2" s="3"/>
      <c r="U2" s="8"/>
      <c r="V2" s="6"/>
      <c r="W2" s="6"/>
    </row>
    <row r="3" spans="1:23" s="7" customFormat="1" ht="18" customHeight="1">
      <c r="A3" s="108"/>
      <c r="B3" s="685" t="s">
        <v>4314</v>
      </c>
      <c r="C3" s="685"/>
      <c r="D3" s="68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89"/>
      <c r="S3" s="40" t="s">
        <v>476</v>
      </c>
      <c r="T3" s="3"/>
      <c r="U3" s="5"/>
      <c r="V3" s="6"/>
      <c r="W3" s="6"/>
    </row>
    <row r="4" spans="1:23" s="7" customFormat="1" ht="18" customHeight="1">
      <c r="A4" s="108"/>
      <c r="B4" s="60" t="s">
        <v>3906</v>
      </c>
      <c r="C4" s="295"/>
      <c r="D4" s="29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253</v>
      </c>
      <c r="T4" s="3"/>
      <c r="U4" s="5"/>
      <c r="V4" s="6"/>
      <c r="W4" s="6"/>
    </row>
    <row r="5" spans="1:23" s="32" customFormat="1" ht="18" customHeight="1">
      <c r="A5" s="109"/>
      <c r="B5" s="694" t="s">
        <v>4477</v>
      </c>
      <c r="C5" s="694"/>
      <c r="D5" s="561"/>
      <c r="E5" s="709" t="s">
        <v>248</v>
      </c>
      <c r="F5" s="709"/>
      <c r="G5" s="709"/>
      <c r="H5" s="704" t="s">
        <v>255</v>
      </c>
      <c r="I5" s="704"/>
      <c r="J5" s="704"/>
      <c r="K5" s="693" t="s">
        <v>474</v>
      </c>
      <c r="L5" s="693"/>
      <c r="M5" s="693"/>
      <c r="N5" s="708" t="s">
        <v>405</v>
      </c>
      <c r="O5" s="708"/>
      <c r="P5" s="708"/>
      <c r="Q5" s="702" t="s">
        <v>256</v>
      </c>
      <c r="R5" s="702"/>
      <c r="S5" s="703" t="s">
        <v>258</v>
      </c>
    </row>
    <row r="6" spans="1:23" s="32" customFormat="1" ht="16.5" customHeight="1">
      <c r="A6" s="109"/>
      <c r="B6" s="694"/>
      <c r="C6" s="694"/>
      <c r="D6" s="299" t="s">
        <v>257</v>
      </c>
      <c r="E6" s="709"/>
      <c r="F6" s="709"/>
      <c r="G6" s="709"/>
      <c r="H6" s="704"/>
      <c r="I6" s="704"/>
      <c r="J6" s="704"/>
      <c r="K6" s="693"/>
      <c r="L6" s="693"/>
      <c r="M6" s="693"/>
      <c r="N6" s="708"/>
      <c r="O6" s="708"/>
      <c r="P6" s="708"/>
      <c r="Q6" s="702"/>
      <c r="R6" s="702"/>
      <c r="S6" s="703"/>
    </row>
    <row r="7" spans="1:23" s="117" customFormat="1" ht="9.75" customHeight="1">
      <c r="A7" s="724"/>
      <c r="B7" s="724"/>
      <c r="C7" s="125"/>
      <c r="D7" s="106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8"/>
    </row>
    <row r="8" spans="1:23" s="117" customFormat="1" ht="5.25" customHeight="1">
      <c r="A8" s="723"/>
      <c r="B8" s="723"/>
      <c r="C8" s="125"/>
      <c r="D8" s="106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8"/>
    </row>
    <row r="9" spans="1:23" s="117" customFormat="1" ht="19.5" customHeight="1">
      <c r="A9" s="391" t="s">
        <v>4337</v>
      </c>
      <c r="B9" s="102"/>
      <c r="C9" s="126"/>
      <c r="D9" s="10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103"/>
    </row>
    <row r="10" spans="1:23" ht="18" customHeight="1">
      <c r="A10" s="698" t="s">
        <v>37</v>
      </c>
      <c r="B10" s="696" t="s">
        <v>38</v>
      </c>
      <c r="C10" s="696" t="s">
        <v>254</v>
      </c>
      <c r="D10" s="715" t="s">
        <v>402</v>
      </c>
      <c r="E10" s="705" t="s">
        <v>33</v>
      </c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1" t="s">
        <v>34</v>
      </c>
      <c r="R10" s="701" t="s">
        <v>36</v>
      </c>
      <c r="S10" s="696" t="s">
        <v>35</v>
      </c>
      <c r="T10" s="111"/>
    </row>
    <row r="11" spans="1:23" ht="24" customHeight="1">
      <c r="A11" s="722"/>
      <c r="B11" s="715"/>
      <c r="C11" s="715"/>
      <c r="D11" s="716"/>
      <c r="E11" s="232" t="s">
        <v>21</v>
      </c>
      <c r="F11" s="232" t="s">
        <v>22</v>
      </c>
      <c r="G11" s="232" t="s">
        <v>23</v>
      </c>
      <c r="H11" s="232" t="s">
        <v>24</v>
      </c>
      <c r="I11" s="232" t="s">
        <v>25</v>
      </c>
      <c r="J11" s="232" t="s">
        <v>26</v>
      </c>
      <c r="K11" s="232" t="s">
        <v>27</v>
      </c>
      <c r="L11" s="232" t="s">
        <v>28</v>
      </c>
      <c r="M11" s="232" t="s">
        <v>29</v>
      </c>
      <c r="N11" s="232" t="s">
        <v>30</v>
      </c>
      <c r="O11" s="232" t="s">
        <v>31</v>
      </c>
      <c r="P11" s="232" t="s">
        <v>32</v>
      </c>
      <c r="Q11" s="720"/>
      <c r="R11" s="719"/>
      <c r="S11" s="720"/>
      <c r="T11" s="111"/>
    </row>
    <row r="12" spans="1:23" s="119" customFormat="1" ht="32.1" customHeight="1">
      <c r="A12" s="564" t="s">
        <v>202</v>
      </c>
      <c r="B12" s="601" t="s">
        <v>424</v>
      </c>
      <c r="C12" s="674" t="s">
        <v>477</v>
      </c>
      <c r="D12" s="304">
        <v>19</v>
      </c>
      <c r="E12" s="47">
        <v>97.35</v>
      </c>
      <c r="F12" s="47"/>
      <c r="G12" s="47"/>
      <c r="H12" s="47"/>
      <c r="I12" s="47"/>
      <c r="J12" s="47"/>
      <c r="K12" s="47"/>
      <c r="L12" s="47"/>
      <c r="M12" s="47"/>
      <c r="N12" s="47"/>
      <c r="O12" s="47">
        <v>97.35</v>
      </c>
      <c r="P12" s="47"/>
      <c r="Q12" s="314">
        <f t="shared" ref="Q12:Q76" si="0">AVERAGE(E12:P12)</f>
        <v>97.35</v>
      </c>
      <c r="R12" s="315" t="str">
        <f t="shared" ref="R12:R76" si="1">IF(Q12&lt;5,"SI","NO")</f>
        <v>NO</v>
      </c>
      <c r="S12" s="316" t="str">
        <f t="shared" ref="S12:S41" si="2">IF(Q12&lt;=5,"Sin Riesgo",IF(Q12 &lt;=14,"Bajo",IF(Q12&lt;=35,"Medio",IF(Q12&lt;=80,"Alto","Inviable Sanitariamente"))))</f>
        <v>Inviable Sanitariamente</v>
      </c>
    </row>
    <row r="13" spans="1:23" s="119" customFormat="1" ht="32.1" customHeight="1">
      <c r="A13" s="564" t="s">
        <v>202</v>
      </c>
      <c r="B13" s="601" t="s">
        <v>478</v>
      </c>
      <c r="C13" s="674" t="s">
        <v>479</v>
      </c>
      <c r="D13" s="304">
        <v>37</v>
      </c>
      <c r="E13" s="47"/>
      <c r="F13" s="47"/>
      <c r="G13" s="47"/>
      <c r="H13" s="47"/>
      <c r="I13" s="47"/>
      <c r="J13" s="47">
        <v>97.35</v>
      </c>
      <c r="K13" s="47"/>
      <c r="L13" s="47"/>
      <c r="M13" s="47"/>
      <c r="N13" s="47"/>
      <c r="O13" s="47"/>
      <c r="P13" s="47"/>
      <c r="Q13" s="314">
        <f t="shared" si="0"/>
        <v>97.35</v>
      </c>
      <c r="R13" s="315" t="str">
        <f t="shared" si="1"/>
        <v>NO</v>
      </c>
      <c r="S13" s="316" t="str">
        <f t="shared" si="2"/>
        <v>Inviable Sanitariamente</v>
      </c>
    </row>
    <row r="14" spans="1:23" s="119" customFormat="1" ht="32.1" customHeight="1">
      <c r="A14" s="564" t="s">
        <v>202</v>
      </c>
      <c r="B14" s="601" t="s">
        <v>0</v>
      </c>
      <c r="C14" s="674" t="s">
        <v>371</v>
      </c>
      <c r="D14" s="304">
        <v>40</v>
      </c>
      <c r="E14" s="47"/>
      <c r="F14" s="47"/>
      <c r="G14" s="47"/>
      <c r="H14" s="47"/>
      <c r="I14" s="47"/>
      <c r="J14" s="47">
        <v>97.34</v>
      </c>
      <c r="K14" s="47"/>
      <c r="L14" s="47"/>
      <c r="M14" s="47"/>
      <c r="N14" s="47"/>
      <c r="O14" s="47"/>
      <c r="P14" s="47"/>
      <c r="Q14" s="314">
        <f t="shared" si="0"/>
        <v>97.34</v>
      </c>
      <c r="R14" s="315" t="str">
        <f t="shared" si="1"/>
        <v>NO</v>
      </c>
      <c r="S14" s="316" t="str">
        <f t="shared" si="2"/>
        <v>Inviable Sanitariamente</v>
      </c>
    </row>
    <row r="15" spans="1:23" s="119" customFormat="1" ht="32.1" customHeight="1">
      <c r="A15" s="564" t="s">
        <v>202</v>
      </c>
      <c r="B15" s="601" t="s">
        <v>2</v>
      </c>
      <c r="C15" s="674" t="s">
        <v>361</v>
      </c>
      <c r="D15" s="304">
        <v>27</v>
      </c>
      <c r="E15" s="47"/>
      <c r="F15" s="47"/>
      <c r="G15" s="47"/>
      <c r="H15" s="47"/>
      <c r="I15" s="47"/>
      <c r="J15" s="47"/>
      <c r="K15" s="47"/>
      <c r="L15" s="47"/>
      <c r="M15" s="47">
        <v>97.35</v>
      </c>
      <c r="N15" s="47"/>
      <c r="O15" s="47"/>
      <c r="P15" s="47"/>
      <c r="Q15" s="314">
        <f t="shared" si="0"/>
        <v>97.35</v>
      </c>
      <c r="R15" s="315" t="str">
        <f t="shared" si="1"/>
        <v>NO</v>
      </c>
      <c r="S15" s="316" t="str">
        <f t="shared" si="2"/>
        <v>Inviable Sanitariamente</v>
      </c>
    </row>
    <row r="16" spans="1:23" s="119" customFormat="1" ht="32.1" customHeight="1">
      <c r="A16" s="564" t="s">
        <v>202</v>
      </c>
      <c r="B16" s="601" t="s">
        <v>415</v>
      </c>
      <c r="C16" s="674" t="s">
        <v>373</v>
      </c>
      <c r="D16" s="304">
        <v>49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314"/>
      <c r="R16" s="315"/>
      <c r="S16" s="316"/>
    </row>
    <row r="17" spans="1:19" s="119" customFormat="1" ht="32.1" customHeight="1">
      <c r="A17" s="564" t="s">
        <v>202</v>
      </c>
      <c r="B17" s="601" t="s">
        <v>416</v>
      </c>
      <c r="C17" s="674" t="s">
        <v>374</v>
      </c>
      <c r="D17" s="304">
        <v>103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314"/>
      <c r="R17" s="315"/>
      <c r="S17" s="316"/>
    </row>
    <row r="18" spans="1:19" s="119" customFormat="1" ht="32.1" customHeight="1">
      <c r="A18" s="564" t="s">
        <v>202</v>
      </c>
      <c r="B18" s="601" t="s">
        <v>233</v>
      </c>
      <c r="C18" s="674" t="s">
        <v>480</v>
      </c>
      <c r="D18" s="304">
        <v>26</v>
      </c>
      <c r="E18" s="47"/>
      <c r="F18" s="47"/>
      <c r="G18" s="47"/>
      <c r="H18" s="47"/>
      <c r="I18" s="47"/>
      <c r="J18" s="47"/>
      <c r="K18" s="47">
        <v>97.35</v>
      </c>
      <c r="L18" s="47"/>
      <c r="M18" s="47"/>
      <c r="N18" s="47"/>
      <c r="O18" s="47"/>
      <c r="P18" s="47"/>
      <c r="Q18" s="314">
        <f t="shared" si="0"/>
        <v>97.35</v>
      </c>
      <c r="R18" s="315" t="str">
        <f t="shared" si="1"/>
        <v>NO</v>
      </c>
      <c r="S18" s="316" t="str">
        <f t="shared" si="2"/>
        <v>Inviable Sanitariamente</v>
      </c>
    </row>
    <row r="19" spans="1:19" s="119" customFormat="1" ht="32.1" customHeight="1">
      <c r="A19" s="564" t="s">
        <v>202</v>
      </c>
      <c r="B19" s="601" t="s">
        <v>47</v>
      </c>
      <c r="C19" s="674" t="s">
        <v>376</v>
      </c>
      <c r="D19" s="304">
        <v>46</v>
      </c>
      <c r="E19" s="47"/>
      <c r="F19" s="47"/>
      <c r="G19" s="47"/>
      <c r="H19" s="47"/>
      <c r="I19" s="47"/>
      <c r="J19" s="47"/>
      <c r="K19" s="47"/>
      <c r="L19" s="47"/>
      <c r="M19" s="47">
        <v>97.35</v>
      </c>
      <c r="N19" s="47"/>
      <c r="O19" s="47"/>
      <c r="P19" s="47"/>
      <c r="Q19" s="314">
        <f t="shared" si="0"/>
        <v>97.35</v>
      </c>
      <c r="R19" s="315" t="str">
        <f t="shared" si="1"/>
        <v>NO</v>
      </c>
      <c r="S19" s="316" t="str">
        <f t="shared" si="2"/>
        <v>Inviable Sanitariamente</v>
      </c>
    </row>
    <row r="20" spans="1:19" s="119" customFormat="1" ht="32.1" customHeight="1">
      <c r="A20" s="564" t="s">
        <v>202</v>
      </c>
      <c r="B20" s="601" t="s">
        <v>481</v>
      </c>
      <c r="C20" s="674" t="s">
        <v>377</v>
      </c>
      <c r="D20" s="304">
        <v>110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97.35</v>
      </c>
      <c r="P20" s="47"/>
      <c r="Q20" s="314">
        <f t="shared" si="0"/>
        <v>97.35</v>
      </c>
      <c r="R20" s="315" t="str">
        <f t="shared" si="1"/>
        <v>NO</v>
      </c>
      <c r="S20" s="316" t="str">
        <f t="shared" si="2"/>
        <v>Inviable Sanitariamente</v>
      </c>
    </row>
    <row r="21" spans="1:19" s="119" customFormat="1" ht="32.1" customHeight="1">
      <c r="A21" s="564" t="s">
        <v>202</v>
      </c>
      <c r="B21" s="601" t="s">
        <v>417</v>
      </c>
      <c r="C21" s="674" t="s">
        <v>378</v>
      </c>
      <c r="D21" s="304">
        <v>57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>
        <v>97.35</v>
      </c>
      <c r="P21" s="47"/>
      <c r="Q21" s="314">
        <f t="shared" si="0"/>
        <v>97.35</v>
      </c>
      <c r="R21" s="315" t="str">
        <f t="shared" si="1"/>
        <v>NO</v>
      </c>
      <c r="S21" s="316" t="str">
        <f t="shared" si="2"/>
        <v>Inviable Sanitariamente</v>
      </c>
    </row>
    <row r="22" spans="1:19" s="119" customFormat="1" ht="32.1" customHeight="1">
      <c r="A22" s="564" t="s">
        <v>202</v>
      </c>
      <c r="B22" s="601" t="s">
        <v>482</v>
      </c>
      <c r="C22" s="674" t="s">
        <v>483</v>
      </c>
      <c r="D22" s="304">
        <v>60</v>
      </c>
      <c r="E22" s="47"/>
      <c r="F22" s="47"/>
      <c r="G22" s="47"/>
      <c r="H22" s="47"/>
      <c r="I22" s="47">
        <v>100</v>
      </c>
      <c r="J22" s="47"/>
      <c r="K22" s="47"/>
      <c r="L22" s="47"/>
      <c r="M22" s="47"/>
      <c r="N22" s="47"/>
      <c r="O22" s="47"/>
      <c r="P22" s="47"/>
      <c r="Q22" s="314">
        <f t="shared" si="0"/>
        <v>100</v>
      </c>
      <c r="R22" s="315" t="str">
        <f t="shared" si="1"/>
        <v>NO</v>
      </c>
      <c r="S22" s="316" t="str">
        <f t="shared" si="2"/>
        <v>Inviable Sanitariamente</v>
      </c>
    </row>
    <row r="23" spans="1:19" s="119" customFormat="1" ht="32.1" customHeight="1">
      <c r="A23" s="564" t="s">
        <v>202</v>
      </c>
      <c r="B23" s="601" t="s">
        <v>484</v>
      </c>
      <c r="C23" s="674" t="s">
        <v>389</v>
      </c>
      <c r="D23" s="304">
        <v>23</v>
      </c>
      <c r="E23" s="47"/>
      <c r="F23" s="47"/>
      <c r="G23" s="47"/>
      <c r="H23" s="47"/>
      <c r="I23" s="47">
        <v>97.35</v>
      </c>
      <c r="J23" s="47"/>
      <c r="K23" s="47"/>
      <c r="L23" s="47"/>
      <c r="M23" s="47">
        <v>97.35</v>
      </c>
      <c r="N23" s="47"/>
      <c r="O23" s="47"/>
      <c r="P23" s="47"/>
      <c r="Q23" s="314">
        <f t="shared" si="0"/>
        <v>97.35</v>
      </c>
      <c r="R23" s="315" t="str">
        <f t="shared" si="1"/>
        <v>NO</v>
      </c>
      <c r="S23" s="316" t="str">
        <f t="shared" si="2"/>
        <v>Inviable Sanitariamente</v>
      </c>
    </row>
    <row r="24" spans="1:19" s="119" customFormat="1" ht="32.1" customHeight="1">
      <c r="A24" s="564" t="s">
        <v>202</v>
      </c>
      <c r="B24" s="601" t="s">
        <v>485</v>
      </c>
      <c r="C24" s="674" t="s">
        <v>375</v>
      </c>
      <c r="D24" s="304">
        <v>25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314"/>
      <c r="R24" s="315"/>
      <c r="S24" s="316"/>
    </row>
    <row r="25" spans="1:19" s="119" customFormat="1" ht="32.1" customHeight="1">
      <c r="A25" s="564" t="s">
        <v>202</v>
      </c>
      <c r="B25" s="601" t="s">
        <v>6</v>
      </c>
      <c r="C25" s="674" t="s">
        <v>379</v>
      </c>
      <c r="D25" s="304">
        <v>44</v>
      </c>
      <c r="E25" s="47">
        <v>97.35</v>
      </c>
      <c r="F25" s="47">
        <v>26.55</v>
      </c>
      <c r="G25" s="47"/>
      <c r="H25" s="47"/>
      <c r="I25" s="47">
        <v>97.35</v>
      </c>
      <c r="J25" s="47"/>
      <c r="K25" s="47"/>
      <c r="L25" s="47">
        <v>97.35</v>
      </c>
      <c r="M25" s="47">
        <v>0</v>
      </c>
      <c r="N25" s="47"/>
      <c r="O25" s="47"/>
      <c r="P25" s="47"/>
      <c r="Q25" s="314">
        <f t="shared" si="0"/>
        <v>63.720000000000006</v>
      </c>
      <c r="R25" s="315" t="str">
        <f t="shared" si="1"/>
        <v>NO</v>
      </c>
      <c r="S25" s="316" t="str">
        <f t="shared" si="2"/>
        <v>Alto</v>
      </c>
    </row>
    <row r="26" spans="1:19" s="119" customFormat="1" ht="32.1" customHeight="1">
      <c r="A26" s="564" t="s">
        <v>202</v>
      </c>
      <c r="B26" s="601" t="s">
        <v>486</v>
      </c>
      <c r="C26" s="674" t="s">
        <v>380</v>
      </c>
      <c r="D26" s="304">
        <v>17</v>
      </c>
      <c r="E26" s="47">
        <v>97.35</v>
      </c>
      <c r="F26" s="47">
        <v>97.35</v>
      </c>
      <c r="G26" s="47"/>
      <c r="H26" s="47"/>
      <c r="I26" s="47"/>
      <c r="J26" s="47"/>
      <c r="K26" s="47"/>
      <c r="L26" s="47">
        <v>97.35</v>
      </c>
      <c r="M26" s="47">
        <v>26.55</v>
      </c>
      <c r="N26" s="47"/>
      <c r="O26" s="47"/>
      <c r="P26" s="47"/>
      <c r="Q26" s="314">
        <f t="shared" si="0"/>
        <v>79.649999999999991</v>
      </c>
      <c r="R26" s="315" t="str">
        <f t="shared" si="1"/>
        <v>NO</v>
      </c>
      <c r="S26" s="316" t="str">
        <f t="shared" si="2"/>
        <v>Alto</v>
      </c>
    </row>
    <row r="27" spans="1:19" s="119" customFormat="1" ht="32.1" customHeight="1">
      <c r="A27" s="564" t="s">
        <v>202</v>
      </c>
      <c r="B27" s="601" t="s">
        <v>409</v>
      </c>
      <c r="C27" s="674" t="s">
        <v>381</v>
      </c>
      <c r="D27" s="304">
        <v>42</v>
      </c>
      <c r="E27" s="47"/>
      <c r="F27" s="47"/>
      <c r="G27" s="47"/>
      <c r="H27" s="47"/>
      <c r="I27" s="47">
        <v>97.35</v>
      </c>
      <c r="J27" s="47"/>
      <c r="K27" s="47"/>
      <c r="L27" s="47"/>
      <c r="M27" s="47">
        <v>26.55</v>
      </c>
      <c r="N27" s="47"/>
      <c r="O27" s="47"/>
      <c r="P27" s="47"/>
      <c r="Q27" s="314">
        <f t="shared" si="0"/>
        <v>61.949999999999996</v>
      </c>
      <c r="R27" s="315" t="str">
        <f t="shared" si="1"/>
        <v>NO</v>
      </c>
      <c r="S27" s="316" t="str">
        <f t="shared" si="2"/>
        <v>Alto</v>
      </c>
    </row>
    <row r="28" spans="1:19" s="119" customFormat="1" ht="32.1" customHeight="1">
      <c r="A28" s="564" t="s">
        <v>202</v>
      </c>
      <c r="B28" s="601" t="s">
        <v>418</v>
      </c>
      <c r="C28" s="674" t="s">
        <v>487</v>
      </c>
      <c r="D28" s="304">
        <v>41</v>
      </c>
      <c r="E28" s="47">
        <v>97.35</v>
      </c>
      <c r="F28" s="47"/>
      <c r="G28" s="47"/>
      <c r="H28" s="47"/>
      <c r="I28" s="47"/>
      <c r="J28" s="47"/>
      <c r="K28" s="47"/>
      <c r="L28" s="47">
        <v>97.35</v>
      </c>
      <c r="M28" s="47">
        <v>0</v>
      </c>
      <c r="N28" s="47"/>
      <c r="O28" s="47"/>
      <c r="P28" s="47"/>
      <c r="Q28" s="314">
        <f t="shared" si="0"/>
        <v>64.899999999999991</v>
      </c>
      <c r="R28" s="315" t="str">
        <f t="shared" si="1"/>
        <v>NO</v>
      </c>
      <c r="S28" s="316" t="str">
        <f t="shared" si="2"/>
        <v>Alto</v>
      </c>
    </row>
    <row r="29" spans="1:19" s="119" customFormat="1" ht="32.1" customHeight="1">
      <c r="A29" s="564" t="s">
        <v>202</v>
      </c>
      <c r="B29" s="601" t="s">
        <v>419</v>
      </c>
      <c r="C29" s="674" t="s">
        <v>382</v>
      </c>
      <c r="D29" s="304">
        <v>14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314"/>
      <c r="R29" s="315"/>
      <c r="S29" s="316"/>
    </row>
    <row r="30" spans="1:19" s="119" customFormat="1" ht="32.1" customHeight="1">
      <c r="A30" s="564" t="s">
        <v>202</v>
      </c>
      <c r="B30" s="601" t="s">
        <v>488</v>
      </c>
      <c r="C30" s="674" t="s">
        <v>383</v>
      </c>
      <c r="D30" s="304">
        <v>28</v>
      </c>
      <c r="E30" s="47"/>
      <c r="F30" s="47"/>
      <c r="G30" s="47"/>
      <c r="H30" s="47"/>
      <c r="I30" s="47"/>
      <c r="J30" s="47"/>
      <c r="K30" s="47"/>
      <c r="L30" s="47"/>
      <c r="M30" s="47">
        <v>97.35</v>
      </c>
      <c r="N30" s="47"/>
      <c r="O30" s="47"/>
      <c r="P30" s="47"/>
      <c r="Q30" s="314">
        <f t="shared" si="0"/>
        <v>97.35</v>
      </c>
      <c r="R30" s="315" t="str">
        <f t="shared" si="1"/>
        <v>NO</v>
      </c>
      <c r="S30" s="316" t="str">
        <f t="shared" si="2"/>
        <v>Inviable Sanitariamente</v>
      </c>
    </row>
    <row r="31" spans="1:19" s="119" customFormat="1" ht="32.1" customHeight="1">
      <c r="A31" s="564" t="s">
        <v>202</v>
      </c>
      <c r="B31" s="601" t="s">
        <v>16</v>
      </c>
      <c r="C31" s="674" t="s">
        <v>384</v>
      </c>
      <c r="D31" s="304">
        <v>36</v>
      </c>
      <c r="E31" s="47"/>
      <c r="F31" s="47"/>
      <c r="G31" s="47">
        <v>97.4</v>
      </c>
      <c r="H31" s="47"/>
      <c r="I31" s="47"/>
      <c r="J31" s="47"/>
      <c r="K31" s="47"/>
      <c r="L31" s="47"/>
      <c r="M31" s="47"/>
      <c r="N31" s="47"/>
      <c r="O31" s="47"/>
      <c r="P31" s="47"/>
      <c r="Q31" s="314">
        <f t="shared" si="0"/>
        <v>97.4</v>
      </c>
      <c r="R31" s="315" t="str">
        <f t="shared" si="1"/>
        <v>NO</v>
      </c>
      <c r="S31" s="316" t="str">
        <f t="shared" si="2"/>
        <v>Inviable Sanitariamente</v>
      </c>
    </row>
    <row r="32" spans="1:19" s="119" customFormat="1" ht="32.1" customHeight="1">
      <c r="A32" s="564" t="s">
        <v>202</v>
      </c>
      <c r="B32" s="601" t="s">
        <v>489</v>
      </c>
      <c r="C32" s="674" t="s">
        <v>385</v>
      </c>
      <c r="D32" s="304">
        <v>54</v>
      </c>
      <c r="E32" s="47"/>
      <c r="F32" s="47"/>
      <c r="G32" s="47">
        <v>61.95</v>
      </c>
      <c r="H32" s="47"/>
      <c r="I32" s="47"/>
      <c r="J32" s="47"/>
      <c r="K32" s="47"/>
      <c r="L32" s="47"/>
      <c r="M32" s="47"/>
      <c r="N32" s="47"/>
      <c r="O32" s="47"/>
      <c r="P32" s="47"/>
      <c r="Q32" s="314">
        <f t="shared" si="0"/>
        <v>61.95</v>
      </c>
      <c r="R32" s="315" t="str">
        <f t="shared" si="1"/>
        <v>NO</v>
      </c>
      <c r="S32" s="316" t="str">
        <f t="shared" si="2"/>
        <v>Alto</v>
      </c>
    </row>
    <row r="33" spans="1:19" s="119" customFormat="1" ht="32.1" customHeight="1">
      <c r="A33" s="564" t="s">
        <v>202</v>
      </c>
      <c r="B33" s="601" t="s">
        <v>420</v>
      </c>
      <c r="C33" s="674" t="s">
        <v>386</v>
      </c>
      <c r="D33" s="304">
        <v>127</v>
      </c>
      <c r="E33" s="47"/>
      <c r="F33" s="47">
        <v>97.35</v>
      </c>
      <c r="G33" s="47"/>
      <c r="H33" s="47"/>
      <c r="I33" s="47"/>
      <c r="J33" s="47"/>
      <c r="K33" s="47"/>
      <c r="L33" s="47"/>
      <c r="M33" s="47"/>
      <c r="N33" s="47"/>
      <c r="O33" s="47">
        <v>97.35</v>
      </c>
      <c r="P33" s="47"/>
      <c r="Q33" s="314">
        <f t="shared" si="0"/>
        <v>97.35</v>
      </c>
      <c r="R33" s="315" t="str">
        <f t="shared" si="1"/>
        <v>NO</v>
      </c>
      <c r="S33" s="316" t="str">
        <f t="shared" si="2"/>
        <v>Inviable Sanitariamente</v>
      </c>
    </row>
    <row r="34" spans="1:19" s="119" customFormat="1" ht="32.1" customHeight="1">
      <c r="A34" s="564" t="s">
        <v>202</v>
      </c>
      <c r="B34" s="601" t="s">
        <v>430</v>
      </c>
      <c r="C34" s="674" t="s">
        <v>400</v>
      </c>
      <c r="D34" s="304">
        <v>24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>
        <v>97.35</v>
      </c>
      <c r="P34" s="47"/>
      <c r="Q34" s="314">
        <f t="shared" si="0"/>
        <v>97.35</v>
      </c>
      <c r="R34" s="315" t="str">
        <f t="shared" si="1"/>
        <v>NO</v>
      </c>
      <c r="S34" s="316" t="str">
        <f t="shared" si="2"/>
        <v>Inviable Sanitariamente</v>
      </c>
    </row>
    <row r="35" spans="1:19" s="119" customFormat="1" ht="32.1" customHeight="1">
      <c r="A35" s="564" t="s">
        <v>202</v>
      </c>
      <c r="B35" s="601" t="s">
        <v>490</v>
      </c>
      <c r="C35" s="674" t="s">
        <v>427</v>
      </c>
      <c r="D35" s="304">
        <v>6</v>
      </c>
      <c r="E35" s="47"/>
      <c r="F35" s="47"/>
      <c r="G35" s="47"/>
      <c r="H35" s="47"/>
      <c r="I35" s="47"/>
      <c r="J35" s="47"/>
      <c r="K35" s="47">
        <v>97.35</v>
      </c>
      <c r="L35" s="47"/>
      <c r="M35" s="47"/>
      <c r="N35" s="47"/>
      <c r="O35" s="47"/>
      <c r="P35" s="47"/>
      <c r="Q35" s="314">
        <f t="shared" si="0"/>
        <v>97.35</v>
      </c>
      <c r="R35" s="315" t="str">
        <f t="shared" si="1"/>
        <v>NO</v>
      </c>
      <c r="S35" s="316" t="str">
        <f t="shared" si="2"/>
        <v>Inviable Sanitariamente</v>
      </c>
    </row>
    <row r="36" spans="1:19" s="119" customFormat="1" ht="32.1" customHeight="1">
      <c r="A36" s="564" t="s">
        <v>202</v>
      </c>
      <c r="B36" s="601" t="s">
        <v>491</v>
      </c>
      <c r="C36" s="674" t="s">
        <v>421</v>
      </c>
      <c r="D36" s="304">
        <v>128</v>
      </c>
      <c r="E36" s="47"/>
      <c r="F36" s="47"/>
      <c r="G36" s="47"/>
      <c r="H36" s="47"/>
      <c r="I36" s="47"/>
      <c r="J36" s="47"/>
      <c r="K36" s="47">
        <v>97.35</v>
      </c>
      <c r="L36" s="47"/>
      <c r="M36" s="47"/>
      <c r="N36" s="47"/>
      <c r="O36" s="47"/>
      <c r="P36" s="47"/>
      <c r="Q36" s="314">
        <f t="shared" si="0"/>
        <v>97.35</v>
      </c>
      <c r="R36" s="315" t="str">
        <f t="shared" si="1"/>
        <v>NO</v>
      </c>
      <c r="S36" s="316" t="str">
        <f t="shared" si="2"/>
        <v>Inviable Sanitariamente</v>
      </c>
    </row>
    <row r="37" spans="1:19" s="119" customFormat="1" ht="32.1" customHeight="1">
      <c r="A37" s="564" t="s">
        <v>202</v>
      </c>
      <c r="B37" s="601" t="s">
        <v>422</v>
      </c>
      <c r="C37" s="674" t="s">
        <v>387</v>
      </c>
      <c r="D37" s="304">
        <v>19</v>
      </c>
      <c r="E37" s="47"/>
      <c r="F37" s="47"/>
      <c r="G37" s="47"/>
      <c r="H37" s="47"/>
      <c r="I37" s="47"/>
      <c r="J37" s="47"/>
      <c r="K37" s="47"/>
      <c r="L37" s="47"/>
      <c r="M37" s="47"/>
      <c r="N37" s="47">
        <v>97.35</v>
      </c>
      <c r="O37" s="47"/>
      <c r="P37" s="47"/>
      <c r="Q37" s="314">
        <f t="shared" si="0"/>
        <v>97.35</v>
      </c>
      <c r="R37" s="315" t="str">
        <f t="shared" si="1"/>
        <v>NO</v>
      </c>
      <c r="S37" s="316" t="str">
        <f t="shared" si="2"/>
        <v>Inviable Sanitariamente</v>
      </c>
    </row>
    <row r="38" spans="1:19" s="119" customFormat="1" ht="32.1" customHeight="1">
      <c r="A38" s="564" t="s">
        <v>202</v>
      </c>
      <c r="B38" s="601" t="s">
        <v>423</v>
      </c>
      <c r="C38" s="674" t="s">
        <v>388</v>
      </c>
      <c r="D38" s="304">
        <v>8</v>
      </c>
      <c r="E38" s="47"/>
      <c r="F38" s="47">
        <v>97.35</v>
      </c>
      <c r="G38" s="47"/>
      <c r="H38" s="47"/>
      <c r="I38" s="47"/>
      <c r="J38" s="47"/>
      <c r="K38" s="47"/>
      <c r="L38" s="47"/>
      <c r="M38" s="47"/>
      <c r="N38" s="47"/>
      <c r="O38" s="47">
        <v>97.35</v>
      </c>
      <c r="P38" s="47"/>
      <c r="Q38" s="314">
        <f t="shared" si="0"/>
        <v>97.35</v>
      </c>
      <c r="R38" s="315" t="str">
        <f t="shared" si="1"/>
        <v>NO</v>
      </c>
      <c r="S38" s="316" t="str">
        <f t="shared" si="2"/>
        <v>Inviable Sanitariamente</v>
      </c>
    </row>
    <row r="39" spans="1:19" s="119" customFormat="1" ht="32.1" customHeight="1">
      <c r="A39" s="564" t="s">
        <v>202</v>
      </c>
      <c r="B39" s="601" t="s">
        <v>425</v>
      </c>
      <c r="C39" s="674" t="s">
        <v>390</v>
      </c>
      <c r="D39" s="304">
        <v>98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314"/>
      <c r="R39" s="315"/>
      <c r="S39" s="316"/>
    </row>
    <row r="40" spans="1:19" s="119" customFormat="1" ht="32.1" customHeight="1">
      <c r="A40" s="564" t="s">
        <v>202</v>
      </c>
      <c r="B40" s="601" t="s">
        <v>426</v>
      </c>
      <c r="C40" s="674" t="s">
        <v>391</v>
      </c>
      <c r="D40" s="304">
        <v>37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>
        <v>97.35</v>
      </c>
      <c r="P40" s="47"/>
      <c r="Q40" s="314">
        <f t="shared" si="0"/>
        <v>97.35</v>
      </c>
      <c r="R40" s="315" t="str">
        <f t="shared" si="1"/>
        <v>NO</v>
      </c>
      <c r="S40" s="316" t="str">
        <f t="shared" si="2"/>
        <v>Inviable Sanitariamente</v>
      </c>
    </row>
    <row r="41" spans="1:19" s="119" customFormat="1" ht="32.1" customHeight="1">
      <c r="A41" s="564" t="s">
        <v>202</v>
      </c>
      <c r="B41" s="601" t="s">
        <v>1</v>
      </c>
      <c r="C41" s="674" t="s">
        <v>492</v>
      </c>
      <c r="D41" s="304">
        <v>50</v>
      </c>
      <c r="E41" s="47"/>
      <c r="F41" s="47">
        <v>97.35</v>
      </c>
      <c r="G41" s="47"/>
      <c r="H41" s="47"/>
      <c r="I41" s="47"/>
      <c r="J41" s="47"/>
      <c r="K41" s="47"/>
      <c r="L41" s="47"/>
      <c r="M41" s="47"/>
      <c r="N41" s="47"/>
      <c r="O41" s="47">
        <v>97.35</v>
      </c>
      <c r="P41" s="47"/>
      <c r="Q41" s="314">
        <f t="shared" si="0"/>
        <v>97.35</v>
      </c>
      <c r="R41" s="315" t="str">
        <f t="shared" si="1"/>
        <v>NO</v>
      </c>
      <c r="S41" s="316" t="str">
        <f t="shared" si="2"/>
        <v>Inviable Sanitariamente</v>
      </c>
    </row>
    <row r="42" spans="1:19" s="119" customFormat="1" ht="32.1" customHeight="1">
      <c r="A42" s="564" t="s">
        <v>202</v>
      </c>
      <c r="B42" s="601" t="s">
        <v>493</v>
      </c>
      <c r="C42" s="674" t="s">
        <v>393</v>
      </c>
      <c r="D42" s="304">
        <v>35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314"/>
      <c r="R42" s="315"/>
      <c r="S42" s="316"/>
    </row>
    <row r="43" spans="1:19" s="119" customFormat="1" ht="32.1" customHeight="1">
      <c r="A43" s="564" t="s">
        <v>202</v>
      </c>
      <c r="B43" s="601" t="s">
        <v>231</v>
      </c>
      <c r="C43" s="674" t="s">
        <v>395</v>
      </c>
      <c r="D43" s="304">
        <v>27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>
        <v>97.35</v>
      </c>
      <c r="P43" s="47"/>
      <c r="Q43" s="314">
        <f t="shared" si="0"/>
        <v>97.35</v>
      </c>
      <c r="R43" s="315" t="str">
        <f t="shared" si="1"/>
        <v>NO</v>
      </c>
      <c r="S43" s="316" t="str">
        <f t="shared" ref="S43:S59" si="3">IF(Q43&lt;=5,"Sin Riesgo",IF(Q43 &lt;=14,"Bajo",IF(Q43&lt;=35,"Medio",IF(Q43&lt;=80,"Alto","Inviable Sanitariamente"))))</f>
        <v>Inviable Sanitariamente</v>
      </c>
    </row>
    <row r="44" spans="1:19" s="119" customFormat="1" ht="32.1" customHeight="1">
      <c r="A44" s="564" t="s">
        <v>202</v>
      </c>
      <c r="B44" s="601" t="s">
        <v>53</v>
      </c>
      <c r="C44" s="674" t="s">
        <v>396</v>
      </c>
      <c r="D44" s="304">
        <v>35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>
        <v>97.35</v>
      </c>
      <c r="P44" s="47"/>
      <c r="Q44" s="314">
        <f t="shared" si="0"/>
        <v>97.35</v>
      </c>
      <c r="R44" s="315" t="str">
        <f t="shared" si="1"/>
        <v>NO</v>
      </c>
      <c r="S44" s="316" t="str">
        <f t="shared" si="3"/>
        <v>Inviable Sanitariamente</v>
      </c>
    </row>
    <row r="45" spans="1:19" s="119" customFormat="1" ht="32.1" customHeight="1">
      <c r="A45" s="564" t="s">
        <v>202</v>
      </c>
      <c r="B45" s="601" t="s">
        <v>494</v>
      </c>
      <c r="C45" s="674" t="s">
        <v>495</v>
      </c>
      <c r="D45" s="304">
        <v>16</v>
      </c>
      <c r="E45" s="47"/>
      <c r="F45" s="47"/>
      <c r="G45" s="47"/>
      <c r="H45" s="47"/>
      <c r="I45" s="47"/>
      <c r="J45" s="47"/>
      <c r="K45" s="47"/>
      <c r="L45" s="47"/>
      <c r="M45" s="47"/>
      <c r="N45" s="47">
        <v>97.35</v>
      </c>
      <c r="O45" s="47"/>
      <c r="P45" s="47"/>
      <c r="Q45" s="314">
        <f t="shared" si="0"/>
        <v>97.35</v>
      </c>
      <c r="R45" s="315" t="str">
        <f t="shared" si="1"/>
        <v>NO</v>
      </c>
      <c r="S45" s="316" t="str">
        <f t="shared" si="3"/>
        <v>Inviable Sanitariamente</v>
      </c>
    </row>
    <row r="46" spans="1:19" s="119" customFormat="1" ht="32.1" customHeight="1">
      <c r="A46" s="564" t="s">
        <v>202</v>
      </c>
      <c r="B46" s="601" t="s">
        <v>496</v>
      </c>
      <c r="C46" s="674" t="s">
        <v>392</v>
      </c>
      <c r="D46" s="304">
        <v>54</v>
      </c>
      <c r="E46" s="47"/>
      <c r="F46" s="47"/>
      <c r="G46" s="47"/>
      <c r="H46" s="47"/>
      <c r="I46" s="47"/>
      <c r="J46" s="47"/>
      <c r="K46" s="47">
        <v>97.35</v>
      </c>
      <c r="L46" s="47"/>
      <c r="M46" s="47"/>
      <c r="N46" s="47"/>
      <c r="O46" s="47"/>
      <c r="P46" s="47"/>
      <c r="Q46" s="314">
        <f t="shared" si="0"/>
        <v>97.35</v>
      </c>
      <c r="R46" s="315" t="str">
        <f t="shared" si="1"/>
        <v>NO</v>
      </c>
      <c r="S46" s="316" t="str">
        <f t="shared" si="3"/>
        <v>Inviable Sanitariamente</v>
      </c>
    </row>
    <row r="47" spans="1:19" s="119" customFormat="1" ht="32.1" customHeight="1">
      <c r="A47" s="564" t="s">
        <v>202</v>
      </c>
      <c r="B47" s="601" t="s">
        <v>497</v>
      </c>
      <c r="C47" s="674" t="s">
        <v>498</v>
      </c>
      <c r="D47" s="304">
        <v>24</v>
      </c>
      <c r="E47" s="47"/>
      <c r="F47" s="47"/>
      <c r="G47" s="47"/>
      <c r="H47" s="47"/>
      <c r="I47" s="47"/>
      <c r="J47" s="47"/>
      <c r="K47" s="47"/>
      <c r="L47" s="47">
        <v>97.35</v>
      </c>
      <c r="M47" s="47"/>
      <c r="N47" s="47"/>
      <c r="O47" s="47"/>
      <c r="P47" s="47"/>
      <c r="Q47" s="314">
        <f t="shared" si="0"/>
        <v>97.35</v>
      </c>
      <c r="R47" s="315" t="str">
        <f t="shared" si="1"/>
        <v>NO</v>
      </c>
      <c r="S47" s="316" t="str">
        <f t="shared" si="3"/>
        <v>Inviable Sanitariamente</v>
      </c>
    </row>
    <row r="48" spans="1:19" s="119" customFormat="1" ht="32.1" customHeight="1">
      <c r="A48" s="564" t="s">
        <v>202</v>
      </c>
      <c r="B48" s="601" t="s">
        <v>59</v>
      </c>
      <c r="C48" s="674" t="s">
        <v>499</v>
      </c>
      <c r="D48" s="304">
        <v>46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14"/>
      <c r="R48" s="315"/>
      <c r="S48" s="316"/>
    </row>
    <row r="49" spans="1:19" s="119" customFormat="1" ht="32.1" customHeight="1">
      <c r="A49" s="564" t="s">
        <v>202</v>
      </c>
      <c r="B49" s="601" t="s">
        <v>500</v>
      </c>
      <c r="C49" s="674" t="s">
        <v>501</v>
      </c>
      <c r="D49" s="304">
        <v>25</v>
      </c>
      <c r="E49" s="47"/>
      <c r="F49" s="47"/>
      <c r="G49" s="47"/>
      <c r="H49" s="47"/>
      <c r="I49" s="47"/>
      <c r="J49" s="47"/>
      <c r="K49" s="47"/>
      <c r="L49" s="47">
        <v>97.35</v>
      </c>
      <c r="M49" s="47"/>
      <c r="N49" s="47"/>
      <c r="O49" s="47"/>
      <c r="P49" s="47"/>
      <c r="Q49" s="314">
        <f t="shared" si="0"/>
        <v>97.35</v>
      </c>
      <c r="R49" s="315" t="str">
        <f t="shared" si="1"/>
        <v>NO</v>
      </c>
      <c r="S49" s="316" t="str">
        <f t="shared" si="3"/>
        <v>Inviable Sanitariamente</v>
      </c>
    </row>
    <row r="50" spans="1:19" s="119" customFormat="1" ht="32.1" customHeight="1">
      <c r="A50" s="564" t="s">
        <v>202</v>
      </c>
      <c r="B50" s="601" t="s">
        <v>58</v>
      </c>
      <c r="C50" s="674" t="s">
        <v>502</v>
      </c>
      <c r="D50" s="304">
        <v>60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314"/>
      <c r="R50" s="315"/>
      <c r="S50" s="316"/>
    </row>
    <row r="51" spans="1:19" s="119" customFormat="1" ht="32.1" customHeight="1">
      <c r="A51" s="564" t="s">
        <v>202</v>
      </c>
      <c r="B51" s="601" t="s">
        <v>503</v>
      </c>
      <c r="C51" s="674" t="s">
        <v>504</v>
      </c>
      <c r="D51" s="304">
        <v>13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314"/>
      <c r="R51" s="315"/>
      <c r="S51" s="316"/>
    </row>
    <row r="52" spans="1:19" s="119" customFormat="1" ht="32.1" customHeight="1">
      <c r="A52" s="564" t="s">
        <v>202</v>
      </c>
      <c r="B52" s="601" t="s">
        <v>410</v>
      </c>
      <c r="C52" s="674" t="s">
        <v>360</v>
      </c>
      <c r="D52" s="304">
        <v>64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314"/>
      <c r="R52" s="315"/>
      <c r="S52" s="316"/>
    </row>
    <row r="53" spans="1:19" s="119" customFormat="1" ht="32.1" customHeight="1">
      <c r="A53" s="564" t="s">
        <v>202</v>
      </c>
      <c r="B53" s="601" t="s">
        <v>237</v>
      </c>
      <c r="C53" s="674" t="s">
        <v>505</v>
      </c>
      <c r="D53" s="304">
        <v>21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>
        <v>97.35</v>
      </c>
      <c r="P53" s="47"/>
      <c r="Q53" s="314">
        <f t="shared" si="0"/>
        <v>97.35</v>
      </c>
      <c r="R53" s="315" t="str">
        <f t="shared" si="1"/>
        <v>NO</v>
      </c>
      <c r="S53" s="316" t="str">
        <f t="shared" si="3"/>
        <v>Inviable Sanitariamente</v>
      </c>
    </row>
    <row r="54" spans="1:19" s="119" customFormat="1" ht="32.1" customHeight="1">
      <c r="A54" s="564" t="s">
        <v>202</v>
      </c>
      <c r="B54" s="601" t="s">
        <v>506</v>
      </c>
      <c r="C54" s="674" t="s">
        <v>397</v>
      </c>
      <c r="D54" s="304">
        <v>40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314"/>
      <c r="R54" s="315"/>
      <c r="S54" s="316"/>
    </row>
    <row r="55" spans="1:19" s="119" customFormat="1" ht="32.1" customHeight="1">
      <c r="A55" s="564" t="s">
        <v>202</v>
      </c>
      <c r="B55" s="601" t="s">
        <v>428</v>
      </c>
      <c r="C55" s="674" t="s">
        <v>398</v>
      </c>
      <c r="D55" s="304">
        <v>12</v>
      </c>
      <c r="E55" s="47"/>
      <c r="F55" s="47"/>
      <c r="G55" s="47"/>
      <c r="H55" s="47"/>
      <c r="I55" s="47"/>
      <c r="J55" s="47"/>
      <c r="K55" s="47"/>
      <c r="L55" s="47"/>
      <c r="M55" s="47"/>
      <c r="N55" s="47">
        <v>97.35</v>
      </c>
      <c r="O55" s="47"/>
      <c r="P55" s="47"/>
      <c r="Q55" s="314">
        <f t="shared" si="0"/>
        <v>97.35</v>
      </c>
      <c r="R55" s="315" t="str">
        <f t="shared" si="1"/>
        <v>NO</v>
      </c>
      <c r="S55" s="316" t="str">
        <f t="shared" si="3"/>
        <v>Inviable Sanitariamente</v>
      </c>
    </row>
    <row r="56" spans="1:19" s="119" customFormat="1" ht="32.1" customHeight="1">
      <c r="A56" s="564" t="s">
        <v>202</v>
      </c>
      <c r="B56" s="601" t="s">
        <v>507</v>
      </c>
      <c r="C56" s="674" t="s">
        <v>372</v>
      </c>
      <c r="D56" s="304">
        <v>98</v>
      </c>
      <c r="E56" s="47"/>
      <c r="F56" s="47">
        <v>97.35</v>
      </c>
      <c r="G56" s="47"/>
      <c r="H56" s="47"/>
      <c r="I56" s="47"/>
      <c r="J56" s="47"/>
      <c r="K56" s="47">
        <v>97.35</v>
      </c>
      <c r="L56" s="47"/>
      <c r="M56" s="47"/>
      <c r="N56" s="47"/>
      <c r="O56" s="47"/>
      <c r="P56" s="47"/>
      <c r="Q56" s="314">
        <f t="shared" si="0"/>
        <v>97.35</v>
      </c>
      <c r="R56" s="315" t="str">
        <f t="shared" si="1"/>
        <v>NO</v>
      </c>
      <c r="S56" s="316" t="str">
        <f t="shared" si="3"/>
        <v>Inviable Sanitariamente</v>
      </c>
    </row>
    <row r="57" spans="1:19" s="119" customFormat="1" ht="32.1" customHeight="1">
      <c r="A57" s="564" t="s">
        <v>202</v>
      </c>
      <c r="B57" s="601" t="s">
        <v>431</v>
      </c>
      <c r="C57" s="674" t="s">
        <v>401</v>
      </c>
      <c r="D57" s="304">
        <v>24</v>
      </c>
      <c r="E57" s="47"/>
      <c r="F57" s="47">
        <v>97.35</v>
      </c>
      <c r="G57" s="47"/>
      <c r="H57" s="47"/>
      <c r="I57" s="47"/>
      <c r="J57" s="47"/>
      <c r="K57" s="47">
        <v>97.35</v>
      </c>
      <c r="L57" s="47"/>
      <c r="M57" s="47"/>
      <c r="N57" s="47"/>
      <c r="O57" s="47"/>
      <c r="P57" s="47"/>
      <c r="Q57" s="314">
        <f t="shared" si="0"/>
        <v>97.35</v>
      </c>
      <c r="R57" s="315" t="str">
        <f t="shared" si="1"/>
        <v>NO</v>
      </c>
      <c r="S57" s="316" t="str">
        <f t="shared" si="3"/>
        <v>Inviable Sanitariamente</v>
      </c>
    </row>
    <row r="58" spans="1:19" s="119" customFormat="1" ht="32.1" customHeight="1">
      <c r="A58" s="564" t="s">
        <v>202</v>
      </c>
      <c r="B58" s="601" t="s">
        <v>429</v>
      </c>
      <c r="C58" s="674" t="s">
        <v>399</v>
      </c>
      <c r="D58" s="304">
        <v>47</v>
      </c>
      <c r="E58" s="47"/>
      <c r="F58" s="47"/>
      <c r="G58" s="47"/>
      <c r="H58" s="47"/>
      <c r="I58" s="47"/>
      <c r="J58" s="47"/>
      <c r="K58" s="47"/>
      <c r="L58" s="47"/>
      <c r="M58" s="47"/>
      <c r="N58" s="47">
        <v>97.35</v>
      </c>
      <c r="O58" s="47"/>
      <c r="P58" s="47"/>
      <c r="Q58" s="314">
        <f t="shared" si="0"/>
        <v>97.35</v>
      </c>
      <c r="R58" s="315" t="str">
        <f t="shared" si="1"/>
        <v>NO</v>
      </c>
      <c r="S58" s="316" t="str">
        <f t="shared" si="3"/>
        <v>Inviable Sanitariamente</v>
      </c>
    </row>
    <row r="59" spans="1:19" s="119" customFormat="1" ht="32.1" customHeight="1">
      <c r="A59" s="564" t="s">
        <v>202</v>
      </c>
      <c r="B59" s="601" t="s">
        <v>19</v>
      </c>
      <c r="C59" s="674" t="s">
        <v>394</v>
      </c>
      <c r="D59" s="304">
        <v>31</v>
      </c>
      <c r="E59" s="47"/>
      <c r="F59" s="47"/>
      <c r="G59" s="47"/>
      <c r="H59" s="47"/>
      <c r="I59" s="47">
        <v>97.35</v>
      </c>
      <c r="J59" s="47"/>
      <c r="K59" s="47"/>
      <c r="L59" s="47"/>
      <c r="M59" s="47">
        <v>97.35</v>
      </c>
      <c r="N59" s="47"/>
      <c r="O59" s="47"/>
      <c r="P59" s="47"/>
      <c r="Q59" s="314">
        <f t="shared" si="0"/>
        <v>97.35</v>
      </c>
      <c r="R59" s="315" t="str">
        <f t="shared" si="1"/>
        <v>NO</v>
      </c>
      <c r="S59" s="316" t="str">
        <f t="shared" si="3"/>
        <v>Inviable Sanitariamente</v>
      </c>
    </row>
    <row r="60" spans="1:19" s="119" customFormat="1" ht="32.1" customHeight="1">
      <c r="A60" s="404" t="s">
        <v>203</v>
      </c>
      <c r="B60" s="340" t="s">
        <v>508</v>
      </c>
      <c r="C60" s="379" t="s">
        <v>509</v>
      </c>
      <c r="D60" s="418">
        <v>46</v>
      </c>
      <c r="E60" s="407"/>
      <c r="F60" s="407"/>
      <c r="G60" s="407">
        <v>0</v>
      </c>
      <c r="H60" s="407"/>
      <c r="I60" s="407"/>
      <c r="J60" s="407"/>
      <c r="K60" s="407">
        <v>0</v>
      </c>
      <c r="L60" s="407"/>
      <c r="M60" s="407"/>
      <c r="N60" s="407"/>
      <c r="O60" s="407"/>
      <c r="P60" s="407"/>
      <c r="Q60" s="314">
        <f t="shared" si="0"/>
        <v>0</v>
      </c>
      <c r="R60" s="315" t="str">
        <f t="shared" si="1"/>
        <v>SI</v>
      </c>
      <c r="S60" s="316" t="str">
        <f t="shared" ref="S60:S95" si="4">IF(Q60&lt;5,"Sin Riesgo",IF(Q60 &lt;=14,"Bajo",IF(Q60&lt;=35,"Medio",IF(Q60&lt;=80,"Alto","Inviable Sanitariamente"))))</f>
        <v>Sin Riesgo</v>
      </c>
    </row>
    <row r="61" spans="1:19" s="119" customFormat="1" ht="32.1" customHeight="1">
      <c r="A61" s="404" t="s">
        <v>203</v>
      </c>
      <c r="B61" s="340" t="s">
        <v>510</v>
      </c>
      <c r="C61" s="379" t="s">
        <v>511</v>
      </c>
      <c r="D61" s="418">
        <v>24</v>
      </c>
      <c r="E61" s="407"/>
      <c r="F61" s="407"/>
      <c r="G61" s="407">
        <v>96.36</v>
      </c>
      <c r="H61" s="407"/>
      <c r="I61" s="407"/>
      <c r="J61" s="407">
        <v>36.1</v>
      </c>
      <c r="K61" s="407"/>
      <c r="L61" s="407"/>
      <c r="M61" s="407"/>
      <c r="N61" s="407">
        <v>36.14</v>
      </c>
      <c r="O61" s="407"/>
      <c r="P61" s="407"/>
      <c r="Q61" s="314">
        <f t="shared" si="0"/>
        <v>56.20000000000001</v>
      </c>
      <c r="R61" s="315" t="str">
        <f t="shared" si="1"/>
        <v>NO</v>
      </c>
      <c r="S61" s="316" t="str">
        <f t="shared" si="4"/>
        <v>Alto</v>
      </c>
    </row>
    <row r="62" spans="1:19" s="119" customFormat="1" ht="32.1" customHeight="1">
      <c r="A62" s="404" t="s">
        <v>203</v>
      </c>
      <c r="B62" s="340" t="s">
        <v>512</v>
      </c>
      <c r="C62" s="379" t="s">
        <v>513</v>
      </c>
      <c r="D62" s="418">
        <v>28</v>
      </c>
      <c r="E62" s="407"/>
      <c r="F62" s="407"/>
      <c r="G62" s="407">
        <v>96.36</v>
      </c>
      <c r="H62" s="407"/>
      <c r="I62" s="407"/>
      <c r="J62" s="407">
        <v>36.1</v>
      </c>
      <c r="K62" s="407"/>
      <c r="L62" s="407"/>
      <c r="M62" s="407"/>
      <c r="N62" s="407">
        <v>36.14</v>
      </c>
      <c r="O62" s="407"/>
      <c r="P62" s="407"/>
      <c r="Q62" s="314">
        <f t="shared" si="0"/>
        <v>56.20000000000001</v>
      </c>
      <c r="R62" s="315" t="str">
        <f t="shared" si="1"/>
        <v>NO</v>
      </c>
      <c r="S62" s="316" t="str">
        <f t="shared" si="4"/>
        <v>Alto</v>
      </c>
    </row>
    <row r="63" spans="1:19" s="119" customFormat="1" ht="32.1" customHeight="1">
      <c r="A63" s="404" t="s">
        <v>203</v>
      </c>
      <c r="B63" s="340" t="s">
        <v>61</v>
      </c>
      <c r="C63" s="379" t="s">
        <v>514</v>
      </c>
      <c r="D63" s="418">
        <v>46</v>
      </c>
      <c r="E63" s="407">
        <v>36.1</v>
      </c>
      <c r="F63" s="407"/>
      <c r="G63" s="407"/>
      <c r="H63" s="407"/>
      <c r="I63" s="407"/>
      <c r="J63" s="407"/>
      <c r="K63" s="407">
        <v>96.39</v>
      </c>
      <c r="L63" s="407"/>
      <c r="M63" s="407"/>
      <c r="N63" s="407"/>
      <c r="O63" s="407"/>
      <c r="P63" s="407"/>
      <c r="Q63" s="314">
        <f t="shared" si="0"/>
        <v>66.245000000000005</v>
      </c>
      <c r="R63" s="315" t="str">
        <f t="shared" si="1"/>
        <v>NO</v>
      </c>
      <c r="S63" s="316" t="str">
        <f t="shared" si="4"/>
        <v>Alto</v>
      </c>
    </row>
    <row r="64" spans="1:19" s="119" customFormat="1" ht="32.1" customHeight="1">
      <c r="A64" s="404" t="s">
        <v>203</v>
      </c>
      <c r="B64" s="485" t="s">
        <v>515</v>
      </c>
      <c r="C64" s="379" t="s">
        <v>516</v>
      </c>
      <c r="D64" s="304">
        <v>109</v>
      </c>
      <c r="E64" s="407"/>
      <c r="F64" s="407"/>
      <c r="G64" s="407"/>
      <c r="H64" s="407">
        <v>0</v>
      </c>
      <c r="I64" s="407"/>
      <c r="J64" s="407"/>
      <c r="K64" s="407"/>
      <c r="L64" s="407"/>
      <c r="M64" s="407"/>
      <c r="N64" s="407"/>
      <c r="O64" s="407"/>
      <c r="P64" s="407">
        <v>0</v>
      </c>
      <c r="Q64" s="314">
        <f t="shared" si="0"/>
        <v>0</v>
      </c>
      <c r="R64" s="315" t="str">
        <f t="shared" si="1"/>
        <v>SI</v>
      </c>
      <c r="S64" s="316" t="str">
        <f t="shared" si="4"/>
        <v>Sin Riesgo</v>
      </c>
    </row>
    <row r="65" spans="1:19" s="119" customFormat="1" ht="32.1" customHeight="1">
      <c r="A65" s="404" t="s">
        <v>203</v>
      </c>
      <c r="B65" s="340" t="s">
        <v>517</v>
      </c>
      <c r="C65" s="379" t="s">
        <v>518</v>
      </c>
      <c r="D65" s="419">
        <v>20</v>
      </c>
      <c r="E65" s="407"/>
      <c r="F65" s="407"/>
      <c r="G65" s="407"/>
      <c r="H65" s="407"/>
      <c r="I65" s="407"/>
      <c r="J65" s="407"/>
      <c r="K65" s="407"/>
      <c r="L65" s="407"/>
      <c r="M65" s="407">
        <v>84.21</v>
      </c>
      <c r="N65" s="407"/>
      <c r="O65" s="407"/>
      <c r="P65" s="407"/>
      <c r="Q65" s="314">
        <f t="shared" si="0"/>
        <v>84.21</v>
      </c>
      <c r="R65" s="315" t="str">
        <f t="shared" si="1"/>
        <v>NO</v>
      </c>
      <c r="S65" s="316" t="str">
        <f t="shared" si="4"/>
        <v>Inviable Sanitariamente</v>
      </c>
    </row>
    <row r="66" spans="1:19" s="119" customFormat="1" ht="32.1" customHeight="1">
      <c r="A66" s="404" t="s">
        <v>203</v>
      </c>
      <c r="B66" s="340" t="s">
        <v>519</v>
      </c>
      <c r="C66" s="379" t="s">
        <v>520</v>
      </c>
      <c r="D66" s="418">
        <v>40</v>
      </c>
      <c r="E66" s="407">
        <v>36.1</v>
      </c>
      <c r="F66" s="407"/>
      <c r="G66" s="407"/>
      <c r="H66" s="407"/>
      <c r="I66" s="407"/>
      <c r="J66" s="407"/>
      <c r="K66" s="407">
        <v>96.39</v>
      </c>
      <c r="L66" s="407"/>
      <c r="M66" s="407"/>
      <c r="N66" s="407"/>
      <c r="O66" s="407"/>
      <c r="P66" s="407"/>
      <c r="Q66" s="314">
        <f>AVERAGE(E66:P66)</f>
        <v>66.245000000000005</v>
      </c>
      <c r="R66" s="315" t="str">
        <f>IF(Q66&lt;5,"SI","NO")</f>
        <v>NO</v>
      </c>
      <c r="S66" s="316" t="str">
        <f>IF(Q66&lt;5,"Sin Riesgo",IF(Q66 &lt;=14,"Bajo",IF(Q66&lt;=35,"Medio",IF(Q66&lt;=80,"Alto","Inviable Sanitariamente"))))</f>
        <v>Alto</v>
      </c>
    </row>
    <row r="67" spans="1:19" s="119" customFormat="1" ht="32.1" customHeight="1">
      <c r="A67" s="404" t="s">
        <v>203</v>
      </c>
      <c r="B67" s="340" t="s">
        <v>3695</v>
      </c>
      <c r="C67" s="379" t="s">
        <v>4052</v>
      </c>
      <c r="D67" s="419">
        <v>36</v>
      </c>
      <c r="E67" s="407"/>
      <c r="F67" s="407"/>
      <c r="G67" s="407"/>
      <c r="H67" s="407"/>
      <c r="I67" s="407"/>
      <c r="J67" s="407"/>
      <c r="K67" s="407"/>
      <c r="L67" s="407"/>
      <c r="M67" s="407">
        <v>84.21</v>
      </c>
      <c r="N67" s="407"/>
      <c r="O67" s="407"/>
      <c r="P67" s="407"/>
      <c r="Q67" s="314">
        <f>AVERAGE(E67:P67)</f>
        <v>84.21</v>
      </c>
      <c r="R67" s="315" t="str">
        <f>IF(Q67&lt;5,"SI","NO")</f>
        <v>NO</v>
      </c>
      <c r="S67" s="316" t="str">
        <f>IF(Q67&lt;5,"Sin Riesgo",IF(Q67 &lt;=14,"Bajo",IF(Q67&lt;=35,"Medio",IF(Q67&lt;=80,"Alto","Inviable Sanitariamente"))))</f>
        <v>Inviable Sanitariamente</v>
      </c>
    </row>
    <row r="68" spans="1:19" s="119" customFormat="1" ht="32.1" customHeight="1">
      <c r="A68" s="404" t="s">
        <v>203</v>
      </c>
      <c r="B68" s="340" t="s">
        <v>4053</v>
      </c>
      <c r="C68" s="379" t="s">
        <v>4054</v>
      </c>
      <c r="D68" s="418">
        <v>34</v>
      </c>
      <c r="E68" s="407"/>
      <c r="F68" s="407"/>
      <c r="G68" s="407"/>
      <c r="H68" s="407"/>
      <c r="I68" s="407"/>
      <c r="J68" s="407"/>
      <c r="K68" s="407"/>
      <c r="L68" s="407"/>
      <c r="M68" s="407">
        <v>84.21</v>
      </c>
      <c r="N68" s="407"/>
      <c r="O68" s="407"/>
      <c r="P68" s="407"/>
      <c r="Q68" s="314">
        <f>AVERAGE(E68:P68)</f>
        <v>84.21</v>
      </c>
      <c r="R68" s="315" t="str">
        <f>IF(Q68&lt;5,"SI","NO")</f>
        <v>NO</v>
      </c>
      <c r="S68" s="316" t="str">
        <f>IF(Q68&lt;5,"Sin Riesgo",IF(Q68 &lt;=14,"Bajo",IF(Q68&lt;=35,"Medio",IF(Q68&lt;=80,"Alto","Inviable Sanitariamente"))))</f>
        <v>Inviable Sanitariamente</v>
      </c>
    </row>
    <row r="69" spans="1:19" s="119" customFormat="1" ht="32.1" customHeight="1">
      <c r="A69" s="404" t="s">
        <v>203</v>
      </c>
      <c r="B69" s="340" t="s">
        <v>4055</v>
      </c>
      <c r="C69" s="379" t="s">
        <v>4056</v>
      </c>
      <c r="D69" s="418">
        <v>28</v>
      </c>
      <c r="E69" s="407">
        <v>96.3</v>
      </c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314">
        <f t="shared" si="0"/>
        <v>96.3</v>
      </c>
      <c r="R69" s="315" t="str">
        <f t="shared" si="1"/>
        <v>NO</v>
      </c>
      <c r="S69" s="316" t="str">
        <f t="shared" si="4"/>
        <v>Inviable Sanitariamente</v>
      </c>
    </row>
    <row r="70" spans="1:19" s="119" customFormat="1" ht="32.1" customHeight="1">
      <c r="A70" s="301" t="s">
        <v>204</v>
      </c>
      <c r="B70" s="362" t="s">
        <v>521</v>
      </c>
      <c r="C70" s="379" t="s">
        <v>522</v>
      </c>
      <c r="D70" s="346">
        <v>60</v>
      </c>
      <c r="E70" s="407"/>
      <c r="F70" s="407"/>
      <c r="G70" s="407"/>
      <c r="H70" s="407">
        <v>53.1</v>
      </c>
      <c r="I70" s="407"/>
      <c r="J70" s="407"/>
      <c r="K70" s="407"/>
      <c r="L70" s="407"/>
      <c r="M70" s="407"/>
      <c r="N70" s="407"/>
      <c r="O70" s="407"/>
      <c r="P70" s="407"/>
      <c r="Q70" s="314">
        <f t="shared" si="0"/>
        <v>53.1</v>
      </c>
      <c r="R70" s="315" t="str">
        <f t="shared" si="1"/>
        <v>NO</v>
      </c>
      <c r="S70" s="316" t="str">
        <f t="shared" si="4"/>
        <v>Alto</v>
      </c>
    </row>
    <row r="71" spans="1:19" s="119" customFormat="1" ht="32.1" customHeight="1">
      <c r="A71" s="301" t="s">
        <v>204</v>
      </c>
      <c r="B71" s="362" t="s">
        <v>17</v>
      </c>
      <c r="C71" s="379" t="s">
        <v>523</v>
      </c>
      <c r="D71" s="346">
        <v>45</v>
      </c>
      <c r="E71" s="407"/>
      <c r="F71" s="407"/>
      <c r="G71" s="407"/>
      <c r="H71" s="407">
        <v>53.1</v>
      </c>
      <c r="I71" s="407"/>
      <c r="J71" s="407"/>
      <c r="K71" s="407"/>
      <c r="L71" s="407"/>
      <c r="M71" s="407"/>
      <c r="N71" s="407"/>
      <c r="O71" s="407"/>
      <c r="P71" s="407"/>
      <c r="Q71" s="314">
        <f t="shared" si="0"/>
        <v>53.1</v>
      </c>
      <c r="R71" s="315" t="str">
        <f t="shared" si="1"/>
        <v>NO</v>
      </c>
      <c r="S71" s="316" t="str">
        <f t="shared" si="4"/>
        <v>Alto</v>
      </c>
    </row>
    <row r="72" spans="1:19" s="119" customFormat="1" ht="32.1" customHeight="1">
      <c r="A72" s="301" t="s">
        <v>204</v>
      </c>
      <c r="B72" s="362" t="s">
        <v>524</v>
      </c>
      <c r="C72" s="379" t="s">
        <v>525</v>
      </c>
      <c r="D72" s="346">
        <v>35</v>
      </c>
      <c r="E72" s="407"/>
      <c r="F72" s="407"/>
      <c r="G72" s="407"/>
      <c r="H72" s="407"/>
      <c r="I72" s="407"/>
      <c r="J72" s="407"/>
      <c r="K72" s="407"/>
      <c r="L72" s="407"/>
      <c r="M72" s="407"/>
      <c r="N72" s="407">
        <v>97.35</v>
      </c>
      <c r="O72" s="407"/>
      <c r="P72" s="407"/>
      <c r="Q72" s="314">
        <f t="shared" si="0"/>
        <v>97.35</v>
      </c>
      <c r="R72" s="315" t="str">
        <f t="shared" si="1"/>
        <v>NO</v>
      </c>
      <c r="S72" s="316" t="str">
        <f t="shared" si="4"/>
        <v>Inviable Sanitariamente</v>
      </c>
    </row>
    <row r="73" spans="1:19" s="119" customFormat="1" ht="32.1" customHeight="1">
      <c r="A73" s="301" t="s">
        <v>204</v>
      </c>
      <c r="B73" s="362" t="s">
        <v>48</v>
      </c>
      <c r="C73" s="379" t="s">
        <v>526</v>
      </c>
      <c r="D73" s="346">
        <v>19</v>
      </c>
      <c r="E73" s="407"/>
      <c r="F73" s="407"/>
      <c r="G73" s="407"/>
      <c r="H73" s="407"/>
      <c r="I73" s="407"/>
      <c r="J73" s="407"/>
      <c r="K73" s="407">
        <v>53.1</v>
      </c>
      <c r="L73" s="407"/>
      <c r="M73" s="407"/>
      <c r="N73" s="407"/>
      <c r="O73" s="407"/>
      <c r="P73" s="407"/>
      <c r="Q73" s="314">
        <f t="shared" si="0"/>
        <v>53.1</v>
      </c>
      <c r="R73" s="315" t="str">
        <f t="shared" si="1"/>
        <v>NO</v>
      </c>
      <c r="S73" s="316" t="str">
        <f t="shared" si="4"/>
        <v>Alto</v>
      </c>
    </row>
    <row r="74" spans="1:19" s="119" customFormat="1" ht="32.1" customHeight="1">
      <c r="A74" s="301" t="s">
        <v>204</v>
      </c>
      <c r="B74" s="362" t="s">
        <v>63</v>
      </c>
      <c r="C74" s="379" t="s">
        <v>527</v>
      </c>
      <c r="D74" s="346">
        <v>40</v>
      </c>
      <c r="E74" s="407">
        <v>53.1</v>
      </c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314">
        <f t="shared" si="0"/>
        <v>53.1</v>
      </c>
      <c r="R74" s="315" t="str">
        <f t="shared" si="1"/>
        <v>NO</v>
      </c>
      <c r="S74" s="316" t="str">
        <f t="shared" si="4"/>
        <v>Alto</v>
      </c>
    </row>
    <row r="75" spans="1:19" s="119" customFormat="1" ht="32.1" customHeight="1">
      <c r="A75" s="301" t="s">
        <v>204</v>
      </c>
      <c r="B75" s="362" t="s">
        <v>413</v>
      </c>
      <c r="C75" s="379" t="s">
        <v>528</v>
      </c>
      <c r="D75" s="346">
        <v>13</v>
      </c>
      <c r="E75" s="407"/>
      <c r="F75" s="407"/>
      <c r="G75" s="407"/>
      <c r="H75" s="407"/>
      <c r="I75" s="407"/>
      <c r="J75" s="407"/>
      <c r="K75" s="407">
        <v>53.1</v>
      </c>
      <c r="L75" s="407"/>
      <c r="M75" s="407"/>
      <c r="N75" s="407"/>
      <c r="O75" s="407"/>
      <c r="P75" s="407"/>
      <c r="Q75" s="314">
        <f t="shared" si="0"/>
        <v>53.1</v>
      </c>
      <c r="R75" s="315" t="str">
        <f t="shared" si="1"/>
        <v>NO</v>
      </c>
      <c r="S75" s="316" t="str">
        <f t="shared" si="4"/>
        <v>Alto</v>
      </c>
    </row>
    <row r="76" spans="1:19" s="119" customFormat="1" ht="32.1" customHeight="1">
      <c r="A76" s="301" t="s">
        <v>204</v>
      </c>
      <c r="B76" s="362" t="s">
        <v>96</v>
      </c>
      <c r="C76" s="379" t="s">
        <v>529</v>
      </c>
      <c r="D76" s="346">
        <v>16</v>
      </c>
      <c r="E76" s="407"/>
      <c r="F76" s="407"/>
      <c r="G76" s="407"/>
      <c r="H76" s="407"/>
      <c r="I76" s="407"/>
      <c r="J76" s="407"/>
      <c r="K76" s="407"/>
      <c r="L76" s="407"/>
      <c r="M76" s="407"/>
      <c r="N76" s="407">
        <v>97.35</v>
      </c>
      <c r="O76" s="407"/>
      <c r="P76" s="407"/>
      <c r="Q76" s="314">
        <f t="shared" si="0"/>
        <v>97.35</v>
      </c>
      <c r="R76" s="315" t="str">
        <f t="shared" si="1"/>
        <v>NO</v>
      </c>
      <c r="S76" s="316" t="str">
        <f t="shared" si="4"/>
        <v>Inviable Sanitariamente</v>
      </c>
    </row>
    <row r="77" spans="1:19" s="119" customFormat="1" ht="32.1" customHeight="1">
      <c r="A77" s="564" t="s">
        <v>204</v>
      </c>
      <c r="B77" s="662" t="s">
        <v>18</v>
      </c>
      <c r="C77" s="674" t="s">
        <v>530</v>
      </c>
      <c r="D77" s="304">
        <v>37</v>
      </c>
      <c r="E77" s="47"/>
      <c r="F77" s="47"/>
      <c r="G77" s="47"/>
      <c r="H77" s="47"/>
      <c r="I77" s="47">
        <v>97</v>
      </c>
      <c r="J77" s="47"/>
      <c r="K77" s="47"/>
      <c r="L77" s="47"/>
      <c r="M77" s="47"/>
      <c r="N77" s="47"/>
      <c r="O77" s="47"/>
      <c r="P77" s="47"/>
      <c r="Q77" s="314">
        <f t="shared" ref="Q77:Q148" si="5">AVERAGE(E77:P77)</f>
        <v>97</v>
      </c>
      <c r="R77" s="315" t="str">
        <f t="shared" ref="R77:R148" si="6">IF(Q77&lt;5,"SI","NO")</f>
        <v>NO</v>
      </c>
      <c r="S77" s="316" t="str">
        <f t="shared" si="4"/>
        <v>Inviable Sanitariamente</v>
      </c>
    </row>
    <row r="78" spans="1:19" s="119" customFormat="1" ht="32.1" customHeight="1">
      <c r="A78" s="404" t="s">
        <v>204</v>
      </c>
      <c r="B78" s="362" t="s">
        <v>19</v>
      </c>
      <c r="C78" s="379" t="s">
        <v>531</v>
      </c>
      <c r="D78" s="346">
        <v>21</v>
      </c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>
        <v>97.35</v>
      </c>
      <c r="P78" s="407"/>
      <c r="Q78" s="314">
        <f t="shared" si="5"/>
        <v>97.35</v>
      </c>
      <c r="R78" s="315" t="str">
        <f t="shared" si="6"/>
        <v>NO</v>
      </c>
      <c r="S78" s="316" t="str">
        <f t="shared" si="4"/>
        <v>Inviable Sanitariamente</v>
      </c>
    </row>
    <row r="79" spans="1:19" s="119" customFormat="1" ht="32.1" customHeight="1">
      <c r="A79" s="404" t="s">
        <v>204</v>
      </c>
      <c r="B79" s="362" t="s">
        <v>532</v>
      </c>
      <c r="C79" s="379" t="s">
        <v>533</v>
      </c>
      <c r="D79" s="346">
        <v>27</v>
      </c>
      <c r="E79" s="407">
        <v>53.1</v>
      </c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314">
        <f t="shared" si="5"/>
        <v>53.1</v>
      </c>
      <c r="R79" s="315" t="str">
        <f t="shared" si="6"/>
        <v>NO</v>
      </c>
      <c r="S79" s="316" t="str">
        <f t="shared" si="4"/>
        <v>Alto</v>
      </c>
    </row>
    <row r="80" spans="1:19" s="119" customFormat="1" ht="32.1" customHeight="1">
      <c r="A80" s="404" t="s">
        <v>204</v>
      </c>
      <c r="B80" s="362" t="s">
        <v>414</v>
      </c>
      <c r="C80" s="379" t="s">
        <v>534</v>
      </c>
      <c r="D80" s="399">
        <v>18</v>
      </c>
      <c r="E80" s="407">
        <v>53.1</v>
      </c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314">
        <f t="shared" si="5"/>
        <v>53.1</v>
      </c>
      <c r="R80" s="315" t="str">
        <f t="shared" si="6"/>
        <v>NO</v>
      </c>
      <c r="S80" s="316" t="str">
        <f t="shared" si="4"/>
        <v>Alto</v>
      </c>
    </row>
    <row r="81" spans="1:19" s="119" customFormat="1" ht="32.1" customHeight="1">
      <c r="A81" s="404" t="s">
        <v>204</v>
      </c>
      <c r="B81" s="362" t="s">
        <v>238</v>
      </c>
      <c r="C81" s="379" t="s">
        <v>535</v>
      </c>
      <c r="D81" s="346">
        <v>31</v>
      </c>
      <c r="E81" s="407"/>
      <c r="F81" s="407"/>
      <c r="G81" s="407">
        <v>53.1</v>
      </c>
      <c r="H81" s="407"/>
      <c r="I81" s="407"/>
      <c r="J81" s="407"/>
      <c r="K81" s="407"/>
      <c r="L81" s="407"/>
      <c r="M81" s="407"/>
      <c r="N81" s="407"/>
      <c r="O81" s="407"/>
      <c r="P81" s="407"/>
      <c r="Q81" s="314">
        <f t="shared" si="5"/>
        <v>53.1</v>
      </c>
      <c r="R81" s="315" t="str">
        <f t="shared" si="6"/>
        <v>NO</v>
      </c>
      <c r="S81" s="316" t="str">
        <f t="shared" si="4"/>
        <v>Alto</v>
      </c>
    </row>
    <row r="82" spans="1:19" s="119" customFormat="1" ht="32.1" customHeight="1">
      <c r="A82" s="404" t="s">
        <v>204</v>
      </c>
      <c r="B82" s="362" t="s">
        <v>536</v>
      </c>
      <c r="C82" s="379" t="s">
        <v>537</v>
      </c>
      <c r="D82" s="346">
        <v>24</v>
      </c>
      <c r="E82" s="407"/>
      <c r="F82" s="407"/>
      <c r="G82" s="407"/>
      <c r="H82" s="407"/>
      <c r="I82" s="407">
        <v>53.1</v>
      </c>
      <c r="J82" s="407"/>
      <c r="K82" s="407"/>
      <c r="L82" s="407"/>
      <c r="M82" s="407"/>
      <c r="N82" s="407"/>
      <c r="O82" s="407"/>
      <c r="P82" s="407"/>
      <c r="Q82" s="314">
        <f t="shared" si="5"/>
        <v>53.1</v>
      </c>
      <c r="R82" s="315" t="str">
        <f t="shared" si="6"/>
        <v>NO</v>
      </c>
      <c r="S82" s="316" t="str">
        <f t="shared" si="4"/>
        <v>Alto</v>
      </c>
    </row>
    <row r="83" spans="1:19" s="119" customFormat="1" ht="32.1" customHeight="1">
      <c r="A83" s="404" t="s">
        <v>204</v>
      </c>
      <c r="B83" s="362" t="s">
        <v>76</v>
      </c>
      <c r="C83" s="379" t="s">
        <v>538</v>
      </c>
      <c r="D83" s="399">
        <v>22</v>
      </c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>
        <v>97.35</v>
      </c>
      <c r="Q83" s="314">
        <f t="shared" si="5"/>
        <v>97.35</v>
      </c>
      <c r="R83" s="315" t="str">
        <f t="shared" si="6"/>
        <v>NO</v>
      </c>
      <c r="S83" s="316" t="str">
        <f t="shared" si="4"/>
        <v>Inviable Sanitariamente</v>
      </c>
    </row>
    <row r="84" spans="1:19" s="119" customFormat="1" ht="32.1" customHeight="1">
      <c r="A84" s="404" t="s">
        <v>204</v>
      </c>
      <c r="B84" s="362" t="s">
        <v>539</v>
      </c>
      <c r="C84" s="379" t="s">
        <v>540</v>
      </c>
      <c r="D84" s="346">
        <v>21</v>
      </c>
      <c r="E84" s="407"/>
      <c r="F84" s="407"/>
      <c r="G84" s="407"/>
      <c r="H84" s="407"/>
      <c r="I84" s="407"/>
      <c r="J84" s="407"/>
      <c r="K84" s="407"/>
      <c r="L84" s="407"/>
      <c r="M84" s="407"/>
      <c r="N84" s="407">
        <v>97.35</v>
      </c>
      <c r="O84" s="407"/>
      <c r="P84" s="407"/>
      <c r="Q84" s="314">
        <f t="shared" si="5"/>
        <v>97.35</v>
      </c>
      <c r="R84" s="315" t="str">
        <f t="shared" si="6"/>
        <v>NO</v>
      </c>
      <c r="S84" s="316" t="str">
        <f t="shared" si="4"/>
        <v>Inviable Sanitariamente</v>
      </c>
    </row>
    <row r="85" spans="1:19" s="119" customFormat="1" ht="32.1" customHeight="1">
      <c r="A85" s="404" t="s">
        <v>204</v>
      </c>
      <c r="B85" s="362" t="s">
        <v>541</v>
      </c>
      <c r="C85" s="379" t="s">
        <v>542</v>
      </c>
      <c r="D85" s="346">
        <v>28</v>
      </c>
      <c r="E85" s="407"/>
      <c r="F85" s="407"/>
      <c r="G85" s="407"/>
      <c r="H85" s="407"/>
      <c r="I85" s="407">
        <v>53.1</v>
      </c>
      <c r="J85" s="407"/>
      <c r="K85" s="407"/>
      <c r="L85" s="407"/>
      <c r="M85" s="407"/>
      <c r="N85" s="407"/>
      <c r="O85" s="407"/>
      <c r="P85" s="407"/>
      <c r="Q85" s="314">
        <f t="shared" si="5"/>
        <v>53.1</v>
      </c>
      <c r="R85" s="315" t="str">
        <f t="shared" si="6"/>
        <v>NO</v>
      </c>
      <c r="S85" s="316" t="str">
        <f t="shared" si="4"/>
        <v>Alto</v>
      </c>
    </row>
    <row r="86" spans="1:19" s="119" customFormat="1" ht="32.1" customHeight="1">
      <c r="A86" s="404" t="s">
        <v>204</v>
      </c>
      <c r="B86" s="362" t="s">
        <v>543</v>
      </c>
      <c r="C86" s="379" t="s">
        <v>544</v>
      </c>
      <c r="D86" s="346">
        <v>24</v>
      </c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>
        <v>97.35</v>
      </c>
      <c r="Q86" s="314">
        <f t="shared" si="5"/>
        <v>97.35</v>
      </c>
      <c r="R86" s="315" t="str">
        <f t="shared" si="6"/>
        <v>NO</v>
      </c>
      <c r="S86" s="316" t="str">
        <f t="shared" si="4"/>
        <v>Inviable Sanitariamente</v>
      </c>
    </row>
    <row r="87" spans="1:19" s="119" customFormat="1" ht="32.1" customHeight="1">
      <c r="A87" s="404" t="s">
        <v>204</v>
      </c>
      <c r="B87" s="362" t="s">
        <v>545</v>
      </c>
      <c r="C87" s="379" t="s">
        <v>546</v>
      </c>
      <c r="D87" s="346">
        <v>17</v>
      </c>
      <c r="E87" s="407">
        <v>53.1</v>
      </c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314">
        <f t="shared" si="5"/>
        <v>53.1</v>
      </c>
      <c r="R87" s="315" t="str">
        <f t="shared" si="6"/>
        <v>NO</v>
      </c>
      <c r="S87" s="316" t="str">
        <f t="shared" si="4"/>
        <v>Alto</v>
      </c>
    </row>
    <row r="88" spans="1:19" s="119" customFormat="1" ht="32.1" customHeight="1">
      <c r="A88" s="404" t="s">
        <v>204</v>
      </c>
      <c r="B88" s="362" t="s">
        <v>547</v>
      </c>
      <c r="C88" s="379" t="s">
        <v>548</v>
      </c>
      <c r="D88" s="346">
        <v>24</v>
      </c>
      <c r="E88" s="407"/>
      <c r="F88" s="407"/>
      <c r="G88" s="407">
        <v>53.1</v>
      </c>
      <c r="H88" s="407"/>
      <c r="I88" s="407"/>
      <c r="J88" s="407"/>
      <c r="K88" s="407"/>
      <c r="L88" s="407"/>
      <c r="M88" s="407"/>
      <c r="N88" s="407"/>
      <c r="O88" s="407"/>
      <c r="P88" s="407"/>
      <c r="Q88" s="314">
        <f t="shared" si="5"/>
        <v>53.1</v>
      </c>
      <c r="R88" s="315" t="str">
        <f t="shared" si="6"/>
        <v>NO</v>
      </c>
      <c r="S88" s="316" t="str">
        <f t="shared" si="4"/>
        <v>Alto</v>
      </c>
    </row>
    <row r="89" spans="1:19" s="119" customFormat="1" ht="32.1" customHeight="1">
      <c r="A89" s="45" t="s">
        <v>204</v>
      </c>
      <c r="B89" s="551" t="s">
        <v>4413</v>
      </c>
      <c r="C89" s="548" t="s">
        <v>4414</v>
      </c>
      <c r="D89" s="399">
        <v>37</v>
      </c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>
        <v>97.35</v>
      </c>
      <c r="P89" s="407"/>
      <c r="Q89" s="424">
        <f t="shared" si="5"/>
        <v>97.35</v>
      </c>
      <c r="R89" s="470" t="str">
        <f t="shared" si="6"/>
        <v>NO</v>
      </c>
      <c r="S89" s="471" t="str">
        <f t="shared" si="4"/>
        <v>Inviable Sanitariamente</v>
      </c>
    </row>
    <row r="90" spans="1:19" s="119" customFormat="1" ht="32.1" customHeight="1">
      <c r="A90" s="404" t="s">
        <v>876</v>
      </c>
      <c r="B90" s="340" t="s">
        <v>549</v>
      </c>
      <c r="C90" s="379" t="s">
        <v>550</v>
      </c>
      <c r="D90" s="304">
        <v>135</v>
      </c>
      <c r="E90" s="407"/>
      <c r="F90" s="407"/>
      <c r="G90" s="407">
        <v>23.78</v>
      </c>
      <c r="H90" s="407"/>
      <c r="I90" s="407"/>
      <c r="J90" s="407"/>
      <c r="K90" s="407"/>
      <c r="L90" s="407"/>
      <c r="M90" s="407"/>
      <c r="N90" s="407"/>
      <c r="O90" s="407"/>
      <c r="P90" s="407"/>
      <c r="Q90" s="314">
        <f t="shared" si="5"/>
        <v>23.78</v>
      </c>
      <c r="R90" s="315" t="str">
        <f t="shared" si="6"/>
        <v>NO</v>
      </c>
      <c r="S90" s="316" t="str">
        <f t="shared" si="4"/>
        <v>Medio</v>
      </c>
    </row>
    <row r="91" spans="1:19" s="119" customFormat="1" ht="32.1" customHeight="1">
      <c r="A91" s="404" t="s">
        <v>876</v>
      </c>
      <c r="B91" s="340" t="s">
        <v>551</v>
      </c>
      <c r="C91" s="379" t="s">
        <v>552</v>
      </c>
      <c r="D91" s="304">
        <v>332</v>
      </c>
      <c r="E91" s="407"/>
      <c r="F91" s="407">
        <v>0</v>
      </c>
      <c r="G91" s="407"/>
      <c r="H91" s="407">
        <v>0</v>
      </c>
      <c r="I91" s="407"/>
      <c r="J91" s="407"/>
      <c r="K91" s="407"/>
      <c r="L91" s="407"/>
      <c r="M91" s="407"/>
      <c r="N91" s="407"/>
      <c r="O91" s="407"/>
      <c r="P91" s="407"/>
      <c r="Q91" s="314">
        <f t="shared" si="5"/>
        <v>0</v>
      </c>
      <c r="R91" s="315" t="str">
        <f t="shared" si="6"/>
        <v>SI</v>
      </c>
      <c r="S91" s="316" t="str">
        <f t="shared" si="4"/>
        <v>Sin Riesgo</v>
      </c>
    </row>
    <row r="92" spans="1:19" s="119" customFormat="1" ht="32.1" customHeight="1">
      <c r="A92" s="404" t="s">
        <v>876</v>
      </c>
      <c r="B92" s="340" t="s">
        <v>553</v>
      </c>
      <c r="C92" s="379" t="s">
        <v>554</v>
      </c>
      <c r="D92" s="304">
        <v>130</v>
      </c>
      <c r="E92" s="407"/>
      <c r="F92" s="407">
        <v>0</v>
      </c>
      <c r="G92" s="407"/>
      <c r="H92" s="407">
        <v>0</v>
      </c>
      <c r="I92" s="407"/>
      <c r="J92" s="407"/>
      <c r="K92" s="407"/>
      <c r="L92" s="407"/>
      <c r="M92" s="407"/>
      <c r="N92" s="407"/>
      <c r="O92" s="407"/>
      <c r="P92" s="407"/>
      <c r="Q92" s="314">
        <f t="shared" si="5"/>
        <v>0</v>
      </c>
      <c r="R92" s="315" t="str">
        <f t="shared" si="6"/>
        <v>SI</v>
      </c>
      <c r="S92" s="316" t="str">
        <f t="shared" si="4"/>
        <v>Sin Riesgo</v>
      </c>
    </row>
    <row r="93" spans="1:19" s="119" customFormat="1" ht="32.1" customHeight="1">
      <c r="A93" s="404" t="s">
        <v>876</v>
      </c>
      <c r="B93" s="340" t="s">
        <v>555</v>
      </c>
      <c r="C93" s="379" t="s">
        <v>556</v>
      </c>
      <c r="D93" s="304">
        <v>342</v>
      </c>
      <c r="E93" s="407"/>
      <c r="F93" s="407">
        <v>0</v>
      </c>
      <c r="G93" s="407"/>
      <c r="H93" s="407">
        <v>0</v>
      </c>
      <c r="I93" s="407"/>
      <c r="J93" s="407"/>
      <c r="K93" s="407"/>
      <c r="L93" s="407"/>
      <c r="M93" s="407"/>
      <c r="N93" s="407"/>
      <c r="O93" s="407"/>
      <c r="P93" s="407"/>
      <c r="Q93" s="314">
        <f t="shared" si="5"/>
        <v>0</v>
      </c>
      <c r="R93" s="315" t="str">
        <f t="shared" si="6"/>
        <v>SI</v>
      </c>
      <c r="S93" s="316" t="str">
        <f t="shared" si="4"/>
        <v>Sin Riesgo</v>
      </c>
    </row>
    <row r="94" spans="1:19" s="119" customFormat="1" ht="32.1" customHeight="1">
      <c r="A94" s="404" t="s">
        <v>876</v>
      </c>
      <c r="B94" s="340" t="s">
        <v>557</v>
      </c>
      <c r="C94" s="379" t="s">
        <v>558</v>
      </c>
      <c r="D94" s="304">
        <v>175</v>
      </c>
      <c r="E94" s="407"/>
      <c r="F94" s="407">
        <v>0</v>
      </c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314">
        <f t="shared" si="5"/>
        <v>0</v>
      </c>
      <c r="R94" s="315" t="str">
        <f t="shared" si="6"/>
        <v>SI</v>
      </c>
      <c r="S94" s="316" t="str">
        <f t="shared" si="4"/>
        <v>Sin Riesgo</v>
      </c>
    </row>
    <row r="95" spans="1:19" s="119" customFormat="1" ht="32.1" customHeight="1">
      <c r="A95" s="404" t="s">
        <v>876</v>
      </c>
      <c r="B95" s="340" t="s">
        <v>559</v>
      </c>
      <c r="C95" s="379" t="s">
        <v>560</v>
      </c>
      <c r="D95" s="304">
        <v>87</v>
      </c>
      <c r="E95" s="407"/>
      <c r="F95" s="407">
        <v>0</v>
      </c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314">
        <f t="shared" si="5"/>
        <v>0</v>
      </c>
      <c r="R95" s="315" t="str">
        <f t="shared" si="6"/>
        <v>SI</v>
      </c>
      <c r="S95" s="316" t="str">
        <f t="shared" si="4"/>
        <v>Sin Riesgo</v>
      </c>
    </row>
    <row r="96" spans="1:19" s="119" customFormat="1" ht="32.1" customHeight="1">
      <c r="A96" s="404" t="s">
        <v>876</v>
      </c>
      <c r="B96" s="340" t="s">
        <v>561</v>
      </c>
      <c r="C96" s="379" t="s">
        <v>562</v>
      </c>
      <c r="D96" s="304">
        <v>391</v>
      </c>
      <c r="E96" s="407"/>
      <c r="F96" s="407">
        <v>0</v>
      </c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314">
        <f t="shared" si="5"/>
        <v>0</v>
      </c>
      <c r="R96" s="315" t="str">
        <f t="shared" si="6"/>
        <v>SI</v>
      </c>
      <c r="S96" s="316" t="str">
        <f t="shared" ref="S96:S129" si="7">IF(Q96&lt;5,"Sin Riesgo",IF(Q96 &lt;=14,"Bajo",IF(Q96&lt;=35,"Medio",IF(Q96&lt;=80,"Alto","Inviable Sanitariamente"))))</f>
        <v>Sin Riesgo</v>
      </c>
    </row>
    <row r="97" spans="1:19" s="119" customFormat="1" ht="32.1" customHeight="1">
      <c r="A97" s="404" t="s">
        <v>876</v>
      </c>
      <c r="B97" s="340" t="s">
        <v>563</v>
      </c>
      <c r="C97" s="379" t="s">
        <v>564</v>
      </c>
      <c r="D97" s="304">
        <v>320</v>
      </c>
      <c r="E97" s="407"/>
      <c r="F97" s="407">
        <v>0</v>
      </c>
      <c r="G97" s="407"/>
      <c r="H97" s="407">
        <v>0</v>
      </c>
      <c r="I97" s="407"/>
      <c r="J97" s="407"/>
      <c r="K97" s="407"/>
      <c r="L97" s="407"/>
      <c r="M97" s="407"/>
      <c r="N97" s="407"/>
      <c r="O97" s="407"/>
      <c r="P97" s="407"/>
      <c r="Q97" s="314">
        <f t="shared" si="5"/>
        <v>0</v>
      </c>
      <c r="R97" s="315" t="str">
        <f t="shared" si="6"/>
        <v>SI</v>
      </c>
      <c r="S97" s="316" t="str">
        <f t="shared" si="7"/>
        <v>Sin Riesgo</v>
      </c>
    </row>
    <row r="98" spans="1:19" s="119" customFormat="1" ht="32.1" customHeight="1">
      <c r="A98" s="404" t="s">
        <v>876</v>
      </c>
      <c r="B98" s="340" t="s">
        <v>565</v>
      </c>
      <c r="C98" s="379" t="s">
        <v>566</v>
      </c>
      <c r="D98" s="304">
        <v>78</v>
      </c>
      <c r="E98" s="407"/>
      <c r="F98" s="407">
        <v>0</v>
      </c>
      <c r="G98" s="407"/>
      <c r="H98" s="407">
        <v>0</v>
      </c>
      <c r="I98" s="407"/>
      <c r="J98" s="407"/>
      <c r="K98" s="407"/>
      <c r="L98" s="407"/>
      <c r="M98" s="407"/>
      <c r="N98" s="407"/>
      <c r="O98" s="407"/>
      <c r="P98" s="407"/>
      <c r="Q98" s="314">
        <f t="shared" si="5"/>
        <v>0</v>
      </c>
      <c r="R98" s="315" t="str">
        <f t="shared" si="6"/>
        <v>SI</v>
      </c>
      <c r="S98" s="316" t="str">
        <f t="shared" si="7"/>
        <v>Sin Riesgo</v>
      </c>
    </row>
    <row r="99" spans="1:19" s="119" customFormat="1" ht="32.1" customHeight="1">
      <c r="A99" s="404" t="s">
        <v>876</v>
      </c>
      <c r="B99" s="340" t="s">
        <v>567</v>
      </c>
      <c r="C99" s="379" t="s">
        <v>568</v>
      </c>
      <c r="D99" s="304">
        <v>17</v>
      </c>
      <c r="E99" s="407"/>
      <c r="F99" s="407">
        <v>0</v>
      </c>
      <c r="G99" s="407"/>
      <c r="H99" s="407">
        <v>0</v>
      </c>
      <c r="I99" s="407"/>
      <c r="J99" s="407"/>
      <c r="K99" s="407"/>
      <c r="L99" s="407"/>
      <c r="M99" s="407"/>
      <c r="N99" s="407"/>
      <c r="O99" s="407"/>
      <c r="P99" s="407"/>
      <c r="Q99" s="314">
        <f t="shared" si="5"/>
        <v>0</v>
      </c>
      <c r="R99" s="315" t="str">
        <f t="shared" si="6"/>
        <v>SI</v>
      </c>
      <c r="S99" s="316" t="str">
        <f t="shared" si="7"/>
        <v>Sin Riesgo</v>
      </c>
    </row>
    <row r="100" spans="1:19" s="119" customFormat="1" ht="32.1" customHeight="1">
      <c r="A100" s="404" t="s">
        <v>876</v>
      </c>
      <c r="B100" s="340" t="s">
        <v>569</v>
      </c>
      <c r="C100" s="379" t="s">
        <v>570</v>
      </c>
      <c r="D100" s="304">
        <v>311</v>
      </c>
      <c r="E100" s="407"/>
      <c r="F100" s="407">
        <v>4.92</v>
      </c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314">
        <f t="shared" si="5"/>
        <v>4.92</v>
      </c>
      <c r="R100" s="315" t="str">
        <f t="shared" si="6"/>
        <v>SI</v>
      </c>
      <c r="S100" s="316" t="str">
        <f t="shared" si="7"/>
        <v>Sin Riesgo</v>
      </c>
    </row>
    <row r="101" spans="1:19" s="119" customFormat="1" ht="32.1" customHeight="1">
      <c r="A101" s="404" t="s">
        <v>876</v>
      </c>
      <c r="B101" s="340" t="s">
        <v>8</v>
      </c>
      <c r="C101" s="379" t="s">
        <v>571</v>
      </c>
      <c r="D101" s="304">
        <v>341</v>
      </c>
      <c r="E101" s="407"/>
      <c r="F101" s="407">
        <v>24.59</v>
      </c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314">
        <f t="shared" si="5"/>
        <v>24.59</v>
      </c>
      <c r="R101" s="315" t="str">
        <f t="shared" si="6"/>
        <v>NO</v>
      </c>
      <c r="S101" s="316" t="str">
        <f t="shared" si="7"/>
        <v>Medio</v>
      </c>
    </row>
    <row r="102" spans="1:19" s="119" customFormat="1" ht="32.1" customHeight="1">
      <c r="A102" s="404" t="s">
        <v>876</v>
      </c>
      <c r="B102" s="340" t="s">
        <v>572</v>
      </c>
      <c r="C102" s="379" t="s">
        <v>573</v>
      </c>
      <c r="D102" s="304">
        <v>190</v>
      </c>
      <c r="E102" s="407"/>
      <c r="F102" s="407">
        <v>24.59</v>
      </c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314">
        <f t="shared" si="5"/>
        <v>24.59</v>
      </c>
      <c r="R102" s="315" t="str">
        <f t="shared" si="6"/>
        <v>NO</v>
      </c>
      <c r="S102" s="316" t="str">
        <f t="shared" si="7"/>
        <v>Medio</v>
      </c>
    </row>
    <row r="103" spans="1:19" s="119" customFormat="1" ht="32.1" customHeight="1">
      <c r="A103" s="404" t="s">
        <v>876</v>
      </c>
      <c r="B103" s="340" t="s">
        <v>574</v>
      </c>
      <c r="C103" s="379" t="s">
        <v>575</v>
      </c>
      <c r="D103" s="304">
        <v>452</v>
      </c>
      <c r="E103" s="407">
        <v>0</v>
      </c>
      <c r="F103" s="407"/>
      <c r="G103" s="407">
        <v>0</v>
      </c>
      <c r="H103" s="407"/>
      <c r="I103" s="407">
        <v>18.29</v>
      </c>
      <c r="J103" s="407"/>
      <c r="K103" s="407"/>
      <c r="L103" s="407"/>
      <c r="M103" s="407"/>
      <c r="N103" s="407"/>
      <c r="O103" s="407"/>
      <c r="P103" s="407"/>
      <c r="Q103" s="314">
        <f t="shared" si="5"/>
        <v>6.0966666666666667</v>
      </c>
      <c r="R103" s="315" t="str">
        <f t="shared" si="6"/>
        <v>NO</v>
      </c>
      <c r="S103" s="316" t="str">
        <f t="shared" si="7"/>
        <v>Bajo</v>
      </c>
    </row>
    <row r="104" spans="1:19" s="119" customFormat="1" ht="32.1" customHeight="1">
      <c r="A104" s="404" t="s">
        <v>876</v>
      </c>
      <c r="B104" s="340" t="s">
        <v>576</v>
      </c>
      <c r="C104" s="379" t="s">
        <v>577</v>
      </c>
      <c r="D104" s="304">
        <v>452</v>
      </c>
      <c r="E104" s="407">
        <v>0</v>
      </c>
      <c r="F104" s="407"/>
      <c r="G104" s="407"/>
      <c r="H104" s="407"/>
      <c r="I104" s="407">
        <v>18.29</v>
      </c>
      <c r="J104" s="407"/>
      <c r="K104" s="407"/>
      <c r="L104" s="407"/>
      <c r="M104" s="407"/>
      <c r="N104" s="407"/>
      <c r="O104" s="407"/>
      <c r="P104" s="407"/>
      <c r="Q104" s="314">
        <f t="shared" si="5"/>
        <v>9.1449999999999996</v>
      </c>
      <c r="R104" s="315" t="str">
        <f t="shared" si="6"/>
        <v>NO</v>
      </c>
      <c r="S104" s="316" t="str">
        <f t="shared" si="7"/>
        <v>Bajo</v>
      </c>
    </row>
    <row r="105" spans="1:19" s="119" customFormat="1" ht="32.1" customHeight="1">
      <c r="A105" s="404" t="s">
        <v>876</v>
      </c>
      <c r="B105" s="340" t="s">
        <v>578</v>
      </c>
      <c r="C105" s="379" t="s">
        <v>579</v>
      </c>
      <c r="D105" s="304">
        <v>40</v>
      </c>
      <c r="E105" s="407">
        <v>0</v>
      </c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314">
        <f t="shared" si="5"/>
        <v>0</v>
      </c>
      <c r="R105" s="315" t="str">
        <f t="shared" si="6"/>
        <v>SI</v>
      </c>
      <c r="S105" s="316" t="str">
        <f t="shared" si="7"/>
        <v>Sin Riesgo</v>
      </c>
    </row>
    <row r="106" spans="1:19" s="119" customFormat="1" ht="32.1" customHeight="1">
      <c r="A106" s="404" t="s">
        <v>876</v>
      </c>
      <c r="B106" s="340" t="s">
        <v>580</v>
      </c>
      <c r="C106" s="379" t="s">
        <v>581</v>
      </c>
      <c r="D106" s="304">
        <v>200</v>
      </c>
      <c r="E106" s="407">
        <v>0</v>
      </c>
      <c r="F106" s="407"/>
      <c r="G106" s="407">
        <v>0</v>
      </c>
      <c r="H106" s="407"/>
      <c r="I106" s="407">
        <v>0</v>
      </c>
      <c r="J106" s="407"/>
      <c r="K106" s="407"/>
      <c r="L106" s="407"/>
      <c r="M106" s="407"/>
      <c r="N106" s="407"/>
      <c r="O106" s="407"/>
      <c r="P106" s="407"/>
      <c r="Q106" s="314">
        <f>AVERAGE(E106:P106)</f>
        <v>0</v>
      </c>
      <c r="R106" s="315" t="str">
        <f>IF(Q106&lt;5,"SI","NO")</f>
        <v>SI</v>
      </c>
      <c r="S106" s="316" t="str">
        <f>IF(Q106&lt;5,"Sin Riesgo",IF(Q106 &lt;=14,"Bajo",IF(Q106&lt;=35,"Medio",IF(Q106&lt;=80,"Alto","Inviable Sanitariamente"))))</f>
        <v>Sin Riesgo</v>
      </c>
    </row>
    <row r="107" spans="1:19" s="119" customFormat="1" ht="32.1" customHeight="1">
      <c r="A107" s="404" t="s">
        <v>876</v>
      </c>
      <c r="B107" s="340" t="s">
        <v>4057</v>
      </c>
      <c r="C107" s="379" t="s">
        <v>581</v>
      </c>
      <c r="D107" s="304"/>
      <c r="E107" s="407">
        <v>0</v>
      </c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314">
        <f t="shared" si="5"/>
        <v>0</v>
      </c>
      <c r="R107" s="315" t="str">
        <f t="shared" si="6"/>
        <v>SI</v>
      </c>
      <c r="S107" s="316" t="str">
        <f t="shared" si="7"/>
        <v>Sin Riesgo</v>
      </c>
    </row>
    <row r="108" spans="1:19" s="119" customFormat="1" ht="32.1" customHeight="1">
      <c r="A108" s="564" t="s">
        <v>876</v>
      </c>
      <c r="B108" s="601" t="s">
        <v>4058</v>
      </c>
      <c r="C108" s="674" t="s">
        <v>582</v>
      </c>
      <c r="D108" s="304"/>
      <c r="E108" s="47">
        <v>0</v>
      </c>
      <c r="F108" s="47"/>
      <c r="G108" s="47"/>
      <c r="H108" s="47"/>
      <c r="I108" s="47"/>
      <c r="J108" s="47"/>
      <c r="K108" s="47">
        <v>0</v>
      </c>
      <c r="L108" s="47"/>
      <c r="M108" s="47"/>
      <c r="N108" s="47"/>
      <c r="O108" s="47"/>
      <c r="P108" s="47">
        <v>0</v>
      </c>
      <c r="Q108" s="314">
        <f>AVERAGE(E108:P108)</f>
        <v>0</v>
      </c>
      <c r="R108" s="315" t="str">
        <f>IF(Q108&lt;5,"SI","NO")</f>
        <v>SI</v>
      </c>
      <c r="S108" s="316" t="str">
        <f>IF(Q108&lt;5,"Sin Riesgo",IF(Q108 &lt;=14,"Bajo",IF(Q108&lt;=35,"Medio",IF(Q108&lt;=80,"Alto","Inviable Sanitariamente"))))</f>
        <v>Sin Riesgo</v>
      </c>
    </row>
    <row r="109" spans="1:19" s="119" customFormat="1" ht="32.1" customHeight="1">
      <c r="A109" s="564" t="s">
        <v>876</v>
      </c>
      <c r="B109" s="601" t="s">
        <v>4059</v>
      </c>
      <c r="C109" s="674" t="s">
        <v>582</v>
      </c>
      <c r="D109" s="304">
        <v>200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>
        <v>0</v>
      </c>
      <c r="Q109" s="314">
        <f t="shared" si="5"/>
        <v>0</v>
      </c>
      <c r="R109" s="315" t="str">
        <f t="shared" si="6"/>
        <v>SI</v>
      </c>
      <c r="S109" s="316" t="str">
        <f t="shared" si="7"/>
        <v>Sin Riesgo</v>
      </c>
    </row>
    <row r="110" spans="1:19" s="119" customFormat="1" ht="32.1" customHeight="1">
      <c r="A110" s="404" t="s">
        <v>876</v>
      </c>
      <c r="B110" s="340" t="s">
        <v>583</v>
      </c>
      <c r="C110" s="379" t="s">
        <v>584</v>
      </c>
      <c r="D110" s="304">
        <v>32</v>
      </c>
      <c r="E110" s="407">
        <v>2.5</v>
      </c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314">
        <f t="shared" si="5"/>
        <v>2.5</v>
      </c>
      <c r="R110" s="315" t="str">
        <f t="shared" si="6"/>
        <v>SI</v>
      </c>
      <c r="S110" s="316" t="str">
        <f t="shared" si="7"/>
        <v>Sin Riesgo</v>
      </c>
    </row>
    <row r="111" spans="1:19" s="119" customFormat="1" ht="32.1" customHeight="1">
      <c r="A111" s="404" t="s">
        <v>876</v>
      </c>
      <c r="B111" s="340" t="s">
        <v>446</v>
      </c>
      <c r="C111" s="379" t="s">
        <v>585</v>
      </c>
      <c r="D111" s="304">
        <v>495</v>
      </c>
      <c r="E111" s="407">
        <v>0</v>
      </c>
      <c r="F111" s="407"/>
      <c r="G111" s="407">
        <v>0</v>
      </c>
      <c r="H111" s="407"/>
      <c r="I111" s="407">
        <v>0</v>
      </c>
      <c r="J111" s="407"/>
      <c r="K111" s="407"/>
      <c r="L111" s="407"/>
      <c r="M111" s="407"/>
      <c r="N111" s="407"/>
      <c r="O111" s="407"/>
      <c r="P111" s="407"/>
      <c r="Q111" s="314">
        <f t="shared" si="5"/>
        <v>0</v>
      </c>
      <c r="R111" s="315" t="str">
        <f t="shared" si="6"/>
        <v>SI</v>
      </c>
      <c r="S111" s="316" t="str">
        <f t="shared" si="7"/>
        <v>Sin Riesgo</v>
      </c>
    </row>
    <row r="112" spans="1:19" s="119" customFormat="1" ht="32.1" customHeight="1">
      <c r="A112" s="404" t="s">
        <v>876</v>
      </c>
      <c r="B112" s="340" t="s">
        <v>586</v>
      </c>
      <c r="C112" s="379" t="s">
        <v>587</v>
      </c>
      <c r="D112" s="304">
        <v>489</v>
      </c>
      <c r="E112" s="407">
        <v>0</v>
      </c>
      <c r="F112" s="407"/>
      <c r="G112" s="407">
        <v>0</v>
      </c>
      <c r="H112" s="407"/>
      <c r="I112" s="407">
        <v>0</v>
      </c>
      <c r="J112" s="407"/>
      <c r="K112" s="407"/>
      <c r="L112" s="407"/>
      <c r="M112" s="407"/>
      <c r="N112" s="407"/>
      <c r="O112" s="407"/>
      <c r="P112" s="407"/>
      <c r="Q112" s="314">
        <f t="shared" si="5"/>
        <v>0</v>
      </c>
      <c r="R112" s="315" t="str">
        <f t="shared" si="6"/>
        <v>SI</v>
      </c>
      <c r="S112" s="316" t="str">
        <f t="shared" si="7"/>
        <v>Sin Riesgo</v>
      </c>
    </row>
    <row r="113" spans="1:19" s="119" customFormat="1" ht="32.1" customHeight="1">
      <c r="A113" s="404" t="s">
        <v>876</v>
      </c>
      <c r="B113" s="340" t="s">
        <v>588</v>
      </c>
      <c r="C113" s="379" t="s">
        <v>589</v>
      </c>
      <c r="D113" s="304">
        <v>85</v>
      </c>
      <c r="E113" s="407">
        <v>0</v>
      </c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314">
        <f t="shared" si="5"/>
        <v>0</v>
      </c>
      <c r="R113" s="315" t="str">
        <f t="shared" si="6"/>
        <v>SI</v>
      </c>
      <c r="S113" s="316" t="str">
        <f t="shared" si="7"/>
        <v>Sin Riesgo</v>
      </c>
    </row>
    <row r="114" spans="1:19" s="119" customFormat="1" ht="32.1" customHeight="1">
      <c r="A114" s="404" t="s">
        <v>876</v>
      </c>
      <c r="B114" s="340" t="s">
        <v>583</v>
      </c>
      <c r="C114" s="379" t="s">
        <v>607</v>
      </c>
      <c r="D114" s="304">
        <v>80</v>
      </c>
      <c r="E114" s="407">
        <v>1.97</v>
      </c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314">
        <f t="shared" si="5"/>
        <v>1.97</v>
      </c>
      <c r="R114" s="315" t="str">
        <f t="shared" si="6"/>
        <v>SI</v>
      </c>
      <c r="S114" s="316" t="str">
        <f t="shared" si="7"/>
        <v>Sin Riesgo</v>
      </c>
    </row>
    <row r="115" spans="1:19" s="119" customFormat="1" ht="32.1" customHeight="1">
      <c r="A115" s="404" t="s">
        <v>876</v>
      </c>
      <c r="B115" s="340" t="s">
        <v>61</v>
      </c>
      <c r="C115" s="379" t="s">
        <v>608</v>
      </c>
      <c r="D115" s="304">
        <v>253</v>
      </c>
      <c r="E115" s="407">
        <v>1.97</v>
      </c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314">
        <f t="shared" si="5"/>
        <v>1.97</v>
      </c>
      <c r="R115" s="315" t="str">
        <f t="shared" si="6"/>
        <v>SI</v>
      </c>
      <c r="S115" s="316" t="str">
        <f t="shared" si="7"/>
        <v>Sin Riesgo</v>
      </c>
    </row>
    <row r="116" spans="1:19" s="119" customFormat="1" ht="32.1" customHeight="1">
      <c r="A116" s="404" t="s">
        <v>876</v>
      </c>
      <c r="B116" s="340" t="s">
        <v>588</v>
      </c>
      <c r="C116" s="379" t="s">
        <v>609</v>
      </c>
      <c r="D116" s="304">
        <v>585</v>
      </c>
      <c r="E116" s="407">
        <v>0</v>
      </c>
      <c r="F116" s="407"/>
      <c r="G116" s="407">
        <v>0</v>
      </c>
      <c r="H116" s="407"/>
      <c r="I116" s="407">
        <v>0</v>
      </c>
      <c r="J116" s="407"/>
      <c r="K116" s="407"/>
      <c r="L116" s="407"/>
      <c r="M116" s="407"/>
      <c r="N116" s="407"/>
      <c r="O116" s="407"/>
      <c r="P116" s="407"/>
      <c r="Q116" s="314">
        <f t="shared" si="5"/>
        <v>0</v>
      </c>
      <c r="R116" s="315" t="str">
        <f t="shared" si="6"/>
        <v>SI</v>
      </c>
      <c r="S116" s="316" t="str">
        <f t="shared" si="7"/>
        <v>Sin Riesgo</v>
      </c>
    </row>
    <row r="117" spans="1:19" s="119" customFormat="1" ht="32.1" customHeight="1">
      <c r="A117" s="404" t="s">
        <v>876</v>
      </c>
      <c r="B117" s="340" t="s">
        <v>590</v>
      </c>
      <c r="C117" s="379" t="s">
        <v>591</v>
      </c>
      <c r="D117" s="304">
        <v>110</v>
      </c>
      <c r="E117" s="407">
        <v>0</v>
      </c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314">
        <f t="shared" si="5"/>
        <v>0</v>
      </c>
      <c r="R117" s="315" t="str">
        <f t="shared" si="6"/>
        <v>SI</v>
      </c>
      <c r="S117" s="316" t="str">
        <f t="shared" si="7"/>
        <v>Sin Riesgo</v>
      </c>
    </row>
    <row r="118" spans="1:19" s="119" customFormat="1" ht="32.1" customHeight="1">
      <c r="A118" s="404" t="s">
        <v>876</v>
      </c>
      <c r="B118" s="340" t="s">
        <v>592</v>
      </c>
      <c r="C118" s="379" t="s">
        <v>593</v>
      </c>
      <c r="D118" s="304">
        <v>570</v>
      </c>
      <c r="E118" s="407">
        <v>0</v>
      </c>
      <c r="F118" s="407"/>
      <c r="G118" s="407">
        <v>0</v>
      </c>
      <c r="H118" s="407"/>
      <c r="I118" s="407">
        <v>0</v>
      </c>
      <c r="J118" s="407"/>
      <c r="K118" s="407"/>
      <c r="L118" s="407"/>
      <c r="M118" s="407"/>
      <c r="N118" s="407"/>
      <c r="O118" s="407"/>
      <c r="P118" s="407"/>
      <c r="Q118" s="314">
        <f t="shared" si="5"/>
        <v>0</v>
      </c>
      <c r="R118" s="315" t="str">
        <f t="shared" si="6"/>
        <v>SI</v>
      </c>
      <c r="S118" s="316" t="str">
        <f t="shared" si="7"/>
        <v>Sin Riesgo</v>
      </c>
    </row>
    <row r="119" spans="1:19" s="119" customFormat="1" ht="32.1" customHeight="1">
      <c r="A119" s="404" t="s">
        <v>876</v>
      </c>
      <c r="B119" s="340" t="s">
        <v>594</v>
      </c>
      <c r="C119" s="379" t="s">
        <v>595</v>
      </c>
      <c r="D119" s="304">
        <v>395</v>
      </c>
      <c r="E119" s="407">
        <v>0</v>
      </c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314">
        <f t="shared" si="5"/>
        <v>0</v>
      </c>
      <c r="R119" s="315" t="str">
        <f t="shared" si="6"/>
        <v>SI</v>
      </c>
      <c r="S119" s="316" t="str">
        <f t="shared" si="7"/>
        <v>Sin Riesgo</v>
      </c>
    </row>
    <row r="120" spans="1:19" s="119" customFormat="1" ht="32.1" customHeight="1">
      <c r="A120" s="404" t="s">
        <v>876</v>
      </c>
      <c r="B120" s="340" t="s">
        <v>596</v>
      </c>
      <c r="C120" s="379" t="s">
        <v>597</v>
      </c>
      <c r="D120" s="304">
        <v>383</v>
      </c>
      <c r="E120" s="407"/>
      <c r="F120" s="407">
        <v>0</v>
      </c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314">
        <f t="shared" si="5"/>
        <v>0</v>
      </c>
      <c r="R120" s="315" t="str">
        <f t="shared" si="6"/>
        <v>SI</v>
      </c>
      <c r="S120" s="316" t="str">
        <f t="shared" si="7"/>
        <v>Sin Riesgo</v>
      </c>
    </row>
    <row r="121" spans="1:19" s="119" customFormat="1" ht="32.1" customHeight="1">
      <c r="A121" s="404" t="s">
        <v>876</v>
      </c>
      <c r="B121" s="340" t="s">
        <v>598</v>
      </c>
      <c r="C121" s="379" t="s">
        <v>599</v>
      </c>
      <c r="D121" s="304">
        <v>259</v>
      </c>
      <c r="E121" s="407"/>
      <c r="F121" s="407">
        <v>0</v>
      </c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314">
        <f t="shared" si="5"/>
        <v>0</v>
      </c>
      <c r="R121" s="315" t="str">
        <f t="shared" si="6"/>
        <v>SI</v>
      </c>
      <c r="S121" s="316" t="str">
        <f t="shared" si="7"/>
        <v>Sin Riesgo</v>
      </c>
    </row>
    <row r="122" spans="1:19" s="119" customFormat="1" ht="32.1" customHeight="1">
      <c r="A122" s="404" t="s">
        <v>876</v>
      </c>
      <c r="B122" s="340" t="s">
        <v>600</v>
      </c>
      <c r="C122" s="379" t="s">
        <v>601</v>
      </c>
      <c r="D122" s="304">
        <v>220</v>
      </c>
      <c r="E122" s="407"/>
      <c r="F122" s="407">
        <v>0</v>
      </c>
      <c r="G122" s="407"/>
      <c r="H122" s="407"/>
      <c r="I122" s="407">
        <v>0</v>
      </c>
      <c r="J122" s="407"/>
      <c r="K122" s="407"/>
      <c r="L122" s="407"/>
      <c r="M122" s="407"/>
      <c r="N122" s="407"/>
      <c r="O122" s="407"/>
      <c r="P122" s="407"/>
      <c r="Q122" s="314">
        <f t="shared" si="5"/>
        <v>0</v>
      </c>
      <c r="R122" s="315" t="str">
        <f t="shared" si="6"/>
        <v>SI</v>
      </c>
      <c r="S122" s="316" t="str">
        <f t="shared" si="7"/>
        <v>Sin Riesgo</v>
      </c>
    </row>
    <row r="123" spans="1:19" s="119" customFormat="1" ht="32.1" customHeight="1">
      <c r="A123" s="404" t="s">
        <v>876</v>
      </c>
      <c r="B123" s="340" t="s">
        <v>602</v>
      </c>
      <c r="C123" s="379" t="s">
        <v>603</v>
      </c>
      <c r="D123" s="304">
        <v>140</v>
      </c>
      <c r="E123" s="407"/>
      <c r="F123" s="407"/>
      <c r="G123" s="407">
        <v>4.4800000000000004</v>
      </c>
      <c r="H123" s="407"/>
      <c r="I123" s="407"/>
      <c r="J123" s="407"/>
      <c r="K123" s="407"/>
      <c r="L123" s="407"/>
      <c r="M123" s="407"/>
      <c r="N123" s="407"/>
      <c r="O123" s="407"/>
      <c r="P123" s="407"/>
      <c r="Q123" s="314">
        <f t="shared" si="5"/>
        <v>4.4800000000000004</v>
      </c>
      <c r="R123" s="315" t="str">
        <f t="shared" si="6"/>
        <v>SI</v>
      </c>
      <c r="S123" s="316" t="str">
        <f t="shared" si="7"/>
        <v>Sin Riesgo</v>
      </c>
    </row>
    <row r="124" spans="1:19" s="119" customFormat="1" ht="32.1" customHeight="1">
      <c r="A124" s="404" t="s">
        <v>876</v>
      </c>
      <c r="B124" s="340" t="s">
        <v>2</v>
      </c>
      <c r="C124" s="379" t="s">
        <v>604</v>
      </c>
      <c r="D124" s="304">
        <v>52</v>
      </c>
      <c r="E124" s="407"/>
      <c r="F124" s="407">
        <v>2.46</v>
      </c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314">
        <f t="shared" si="5"/>
        <v>2.46</v>
      </c>
      <c r="R124" s="315" t="str">
        <f t="shared" si="6"/>
        <v>SI</v>
      </c>
      <c r="S124" s="316" t="str">
        <f t="shared" si="7"/>
        <v>Sin Riesgo</v>
      </c>
    </row>
    <row r="125" spans="1:19" s="119" customFormat="1" ht="32.1" customHeight="1">
      <c r="A125" s="404" t="s">
        <v>876</v>
      </c>
      <c r="B125" s="340" t="s">
        <v>605</v>
      </c>
      <c r="C125" s="379" t="s">
        <v>606</v>
      </c>
      <c r="D125" s="304">
        <v>143</v>
      </c>
      <c r="E125" s="407"/>
      <c r="F125" s="407"/>
      <c r="G125" s="407">
        <v>0</v>
      </c>
      <c r="H125" s="407"/>
      <c r="I125" s="407"/>
      <c r="J125" s="407"/>
      <c r="K125" s="407"/>
      <c r="L125" s="407"/>
      <c r="M125" s="407"/>
      <c r="N125" s="407"/>
      <c r="O125" s="407"/>
      <c r="P125" s="407"/>
      <c r="Q125" s="314">
        <f t="shared" si="5"/>
        <v>0</v>
      </c>
      <c r="R125" s="315" t="str">
        <f t="shared" si="6"/>
        <v>SI</v>
      </c>
      <c r="S125" s="316" t="str">
        <f t="shared" si="7"/>
        <v>Sin Riesgo</v>
      </c>
    </row>
    <row r="126" spans="1:19" s="119" customFormat="1" ht="32.1" customHeight="1">
      <c r="A126" s="404" t="s">
        <v>205</v>
      </c>
      <c r="B126" s="340" t="s">
        <v>638</v>
      </c>
      <c r="C126" s="379" t="s">
        <v>639</v>
      </c>
      <c r="D126" s="346">
        <v>186</v>
      </c>
      <c r="E126" s="47"/>
      <c r="F126" s="47"/>
      <c r="G126" s="47">
        <v>94.3</v>
      </c>
      <c r="H126" s="47"/>
      <c r="I126" s="47"/>
      <c r="J126" s="47">
        <v>96.3</v>
      </c>
      <c r="K126" s="47"/>
      <c r="L126" s="47"/>
      <c r="M126" s="47">
        <v>79.8</v>
      </c>
      <c r="N126" s="47"/>
      <c r="O126" s="47"/>
      <c r="P126" s="47">
        <v>84.2</v>
      </c>
      <c r="Q126" s="314">
        <f t="shared" si="5"/>
        <v>88.649999999999991</v>
      </c>
      <c r="R126" s="315" t="str">
        <f t="shared" si="6"/>
        <v>NO</v>
      </c>
      <c r="S126" s="316" t="str">
        <f t="shared" si="7"/>
        <v>Inviable Sanitariamente</v>
      </c>
    </row>
    <row r="127" spans="1:19" s="119" customFormat="1" ht="32.1" customHeight="1">
      <c r="A127" s="404" t="s">
        <v>205</v>
      </c>
      <c r="B127" s="340" t="s">
        <v>72</v>
      </c>
      <c r="C127" s="379" t="s">
        <v>640</v>
      </c>
      <c r="D127" s="346">
        <v>130</v>
      </c>
      <c r="E127" s="47">
        <v>94.3</v>
      </c>
      <c r="F127" s="47"/>
      <c r="G127" s="47"/>
      <c r="H127" s="47"/>
      <c r="I127" s="47">
        <v>96.3</v>
      </c>
      <c r="J127" s="47"/>
      <c r="K127" s="47"/>
      <c r="L127" s="47"/>
      <c r="M127" s="47"/>
      <c r="N127" s="47"/>
      <c r="O127" s="47"/>
      <c r="P127" s="47">
        <v>84.2</v>
      </c>
      <c r="Q127" s="314">
        <f t="shared" si="5"/>
        <v>91.600000000000009</v>
      </c>
      <c r="R127" s="315" t="str">
        <f t="shared" si="6"/>
        <v>NO</v>
      </c>
      <c r="S127" s="316" t="str">
        <f t="shared" si="7"/>
        <v>Inviable Sanitariamente</v>
      </c>
    </row>
    <row r="128" spans="1:19" s="119" customFormat="1" ht="32.1" customHeight="1">
      <c r="A128" s="404" t="s">
        <v>205</v>
      </c>
      <c r="B128" s="340" t="s">
        <v>641</v>
      </c>
      <c r="C128" s="379" t="s">
        <v>642</v>
      </c>
      <c r="D128" s="346">
        <v>70</v>
      </c>
      <c r="E128" s="47"/>
      <c r="F128" s="47">
        <v>94.3</v>
      </c>
      <c r="G128" s="47"/>
      <c r="H128" s="47"/>
      <c r="I128" s="47"/>
      <c r="J128" s="47"/>
      <c r="K128" s="47"/>
      <c r="L128" s="47"/>
      <c r="M128" s="47">
        <v>76.900000000000006</v>
      </c>
      <c r="N128" s="47"/>
      <c r="O128" s="47"/>
      <c r="P128" s="47"/>
      <c r="Q128" s="314">
        <f t="shared" si="5"/>
        <v>85.6</v>
      </c>
      <c r="R128" s="315" t="str">
        <f t="shared" si="6"/>
        <v>NO</v>
      </c>
      <c r="S128" s="316" t="str">
        <f t="shared" si="7"/>
        <v>Inviable Sanitariamente</v>
      </c>
    </row>
    <row r="129" spans="1:19" s="119" customFormat="1" ht="32.1" customHeight="1">
      <c r="A129" s="404" t="s">
        <v>205</v>
      </c>
      <c r="B129" s="340" t="s">
        <v>555</v>
      </c>
      <c r="C129" s="379" t="s">
        <v>4037</v>
      </c>
      <c r="D129" s="346">
        <v>44</v>
      </c>
      <c r="E129" s="47"/>
      <c r="F129" s="47"/>
      <c r="G129" s="47"/>
      <c r="H129" s="47">
        <v>36.1</v>
      </c>
      <c r="I129" s="47"/>
      <c r="J129" s="47"/>
      <c r="K129" s="47"/>
      <c r="L129" s="47">
        <v>36.1</v>
      </c>
      <c r="M129" s="47"/>
      <c r="N129" s="47"/>
      <c r="O129" s="47"/>
      <c r="P129" s="47"/>
      <c r="Q129" s="314">
        <f t="shared" si="5"/>
        <v>36.1</v>
      </c>
      <c r="R129" s="315" t="str">
        <f t="shared" si="6"/>
        <v>NO</v>
      </c>
      <c r="S129" s="316" t="str">
        <f t="shared" si="7"/>
        <v>Alto</v>
      </c>
    </row>
    <row r="130" spans="1:19" s="119" customFormat="1" ht="32.1" customHeight="1">
      <c r="A130" s="404" t="s">
        <v>205</v>
      </c>
      <c r="B130" s="340" t="s">
        <v>643</v>
      </c>
      <c r="C130" s="379" t="s">
        <v>4224</v>
      </c>
      <c r="D130" s="346">
        <v>11</v>
      </c>
      <c r="E130" s="47"/>
      <c r="F130" s="47"/>
      <c r="G130" s="47"/>
      <c r="H130" s="47">
        <v>0</v>
      </c>
      <c r="I130" s="47"/>
      <c r="J130" s="47"/>
      <c r="K130" s="47"/>
      <c r="L130" s="47"/>
      <c r="M130" s="47"/>
      <c r="N130" s="47"/>
      <c r="O130" s="47">
        <v>0</v>
      </c>
      <c r="P130" s="47"/>
      <c r="Q130" s="314">
        <f t="shared" si="5"/>
        <v>0</v>
      </c>
      <c r="R130" s="315" t="str">
        <f t="shared" si="6"/>
        <v>SI</v>
      </c>
      <c r="S130" s="316" t="str">
        <f t="shared" ref="S130:S167" si="8">IF(Q130&lt;5,"Sin Riesgo",IF(Q130 &lt;=14,"Bajo",IF(Q130&lt;=35,"Medio",IF(Q130&lt;=80,"Alto","Inviable Sanitariamente"))))</f>
        <v>Sin Riesgo</v>
      </c>
    </row>
    <row r="131" spans="1:19" s="119" customFormat="1" ht="32.1" customHeight="1">
      <c r="A131" s="404" t="s">
        <v>205</v>
      </c>
      <c r="B131" s="340" t="s">
        <v>512</v>
      </c>
      <c r="C131" s="379" t="s">
        <v>644</v>
      </c>
      <c r="D131" s="346">
        <v>85</v>
      </c>
      <c r="E131" s="47">
        <v>36.1</v>
      </c>
      <c r="F131" s="47"/>
      <c r="G131" s="47"/>
      <c r="H131" s="47"/>
      <c r="I131" s="47"/>
      <c r="J131" s="47"/>
      <c r="K131" s="47">
        <v>28.84</v>
      </c>
      <c r="L131" s="47"/>
      <c r="M131" s="47"/>
      <c r="N131" s="47"/>
      <c r="O131" s="47"/>
      <c r="P131" s="47"/>
      <c r="Q131" s="314">
        <f t="shared" si="5"/>
        <v>32.47</v>
      </c>
      <c r="R131" s="315" t="str">
        <f t="shared" si="6"/>
        <v>NO</v>
      </c>
      <c r="S131" s="316" t="str">
        <f t="shared" si="8"/>
        <v>Medio</v>
      </c>
    </row>
    <row r="132" spans="1:19" s="119" customFormat="1" ht="32.1" customHeight="1">
      <c r="A132" s="404" t="s">
        <v>205</v>
      </c>
      <c r="B132" s="340" t="s">
        <v>623</v>
      </c>
      <c r="C132" s="379" t="s">
        <v>645</v>
      </c>
      <c r="D132" s="346">
        <v>220</v>
      </c>
      <c r="E132" s="47"/>
      <c r="F132" s="47"/>
      <c r="G132" s="47"/>
      <c r="H132" s="47"/>
      <c r="I132" s="47">
        <v>0</v>
      </c>
      <c r="J132" s="47">
        <v>36.1</v>
      </c>
      <c r="K132" s="47"/>
      <c r="L132" s="47"/>
      <c r="M132" s="47">
        <v>76.900000000000006</v>
      </c>
      <c r="N132" s="47"/>
      <c r="O132" s="47"/>
      <c r="P132" s="47">
        <v>34.700000000000003</v>
      </c>
      <c r="Q132" s="314">
        <f t="shared" si="5"/>
        <v>36.924999999999997</v>
      </c>
      <c r="R132" s="315" t="str">
        <f t="shared" si="6"/>
        <v>NO</v>
      </c>
      <c r="S132" s="316" t="str">
        <f t="shared" si="8"/>
        <v>Alto</v>
      </c>
    </row>
    <row r="133" spans="1:19" s="119" customFormat="1" ht="32.1" customHeight="1">
      <c r="A133" s="404" t="s">
        <v>205</v>
      </c>
      <c r="B133" s="340" t="s">
        <v>646</v>
      </c>
      <c r="C133" s="379" t="s">
        <v>4225</v>
      </c>
      <c r="D133" s="346">
        <v>77</v>
      </c>
      <c r="E133" s="47">
        <v>94.3</v>
      </c>
      <c r="F133" s="47"/>
      <c r="G133" s="47"/>
      <c r="H133" s="47"/>
      <c r="I133" s="47"/>
      <c r="J133" s="47"/>
      <c r="K133" s="47"/>
      <c r="L133" s="47"/>
      <c r="M133" s="47"/>
      <c r="N133" s="47"/>
      <c r="O133" s="47">
        <v>84.2</v>
      </c>
      <c r="P133" s="47"/>
      <c r="Q133" s="314">
        <f t="shared" si="5"/>
        <v>89.25</v>
      </c>
      <c r="R133" s="315" t="str">
        <f t="shared" si="6"/>
        <v>NO</v>
      </c>
      <c r="S133" s="316" t="str">
        <f t="shared" si="8"/>
        <v>Inviable Sanitariamente</v>
      </c>
    </row>
    <row r="134" spans="1:19" s="119" customFormat="1" ht="32.1" customHeight="1">
      <c r="A134" s="404" t="s">
        <v>205</v>
      </c>
      <c r="B134" s="340" t="s">
        <v>632</v>
      </c>
      <c r="C134" s="379" t="s">
        <v>647</v>
      </c>
      <c r="D134" s="399">
        <v>95</v>
      </c>
      <c r="E134" s="47"/>
      <c r="F134" s="47">
        <v>94.3</v>
      </c>
      <c r="G134" s="47"/>
      <c r="H134" s="47"/>
      <c r="I134" s="47"/>
      <c r="J134" s="47"/>
      <c r="K134" s="47"/>
      <c r="L134" s="47"/>
      <c r="M134" s="47"/>
      <c r="N134" s="47">
        <v>76.900000000000006</v>
      </c>
      <c r="O134" s="47"/>
      <c r="P134" s="47"/>
      <c r="Q134" s="314">
        <f t="shared" si="5"/>
        <v>85.6</v>
      </c>
      <c r="R134" s="315" t="str">
        <f t="shared" si="6"/>
        <v>NO</v>
      </c>
      <c r="S134" s="316" t="str">
        <f t="shared" si="8"/>
        <v>Inviable Sanitariamente</v>
      </c>
    </row>
    <row r="135" spans="1:19" s="119" customFormat="1" ht="32.1" customHeight="1">
      <c r="A135" s="404" t="s">
        <v>205</v>
      </c>
      <c r="B135" s="340" t="s">
        <v>648</v>
      </c>
      <c r="C135" s="379" t="s">
        <v>4226</v>
      </c>
      <c r="D135" s="346">
        <v>63</v>
      </c>
      <c r="E135" s="47"/>
      <c r="F135" s="47">
        <v>96.3</v>
      </c>
      <c r="G135" s="47"/>
      <c r="H135" s="47"/>
      <c r="I135" s="47"/>
      <c r="J135" s="47"/>
      <c r="K135" s="47"/>
      <c r="L135" s="47"/>
      <c r="M135" s="47">
        <v>76.900000000000006</v>
      </c>
      <c r="N135" s="47"/>
      <c r="O135" s="47"/>
      <c r="P135" s="47"/>
      <c r="Q135" s="314">
        <f t="shared" si="5"/>
        <v>86.6</v>
      </c>
      <c r="R135" s="315" t="str">
        <f t="shared" si="6"/>
        <v>NO</v>
      </c>
      <c r="S135" s="316" t="str">
        <f t="shared" si="8"/>
        <v>Inviable Sanitariamente</v>
      </c>
    </row>
    <row r="136" spans="1:19" s="119" customFormat="1" ht="32.1" customHeight="1">
      <c r="A136" s="404" t="s">
        <v>205</v>
      </c>
      <c r="B136" s="340" t="s">
        <v>70</v>
      </c>
      <c r="C136" s="379" t="s">
        <v>4227</v>
      </c>
      <c r="D136" s="346">
        <v>50</v>
      </c>
      <c r="E136" s="47"/>
      <c r="F136" s="47"/>
      <c r="G136" s="47">
        <v>0</v>
      </c>
      <c r="H136" s="47"/>
      <c r="I136" s="47"/>
      <c r="J136" s="47"/>
      <c r="K136" s="47"/>
      <c r="L136" s="47"/>
      <c r="M136" s="47"/>
      <c r="N136" s="47"/>
      <c r="O136" s="47"/>
      <c r="P136" s="47">
        <v>84.2</v>
      </c>
      <c r="Q136" s="314">
        <f t="shared" si="5"/>
        <v>42.1</v>
      </c>
      <c r="R136" s="315" t="str">
        <f t="shared" si="6"/>
        <v>NO</v>
      </c>
      <c r="S136" s="316" t="str">
        <f t="shared" si="8"/>
        <v>Alto</v>
      </c>
    </row>
    <row r="137" spans="1:19" s="119" customFormat="1" ht="32.1" customHeight="1">
      <c r="A137" s="404" t="s">
        <v>205</v>
      </c>
      <c r="B137" s="340" t="s">
        <v>649</v>
      </c>
      <c r="C137" s="379" t="s">
        <v>650</v>
      </c>
      <c r="D137" s="399">
        <v>32</v>
      </c>
      <c r="E137" s="47"/>
      <c r="F137" s="47">
        <v>94.3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84.2</v>
      </c>
      <c r="Q137" s="314">
        <f t="shared" si="5"/>
        <v>89.25</v>
      </c>
      <c r="R137" s="315" t="str">
        <f t="shared" si="6"/>
        <v>NO</v>
      </c>
      <c r="S137" s="316" t="str">
        <f t="shared" si="8"/>
        <v>Inviable Sanitariamente</v>
      </c>
    </row>
    <row r="138" spans="1:19" s="119" customFormat="1" ht="32.1" customHeight="1">
      <c r="A138" s="404" t="s">
        <v>205</v>
      </c>
      <c r="B138" s="340" t="s">
        <v>4228</v>
      </c>
      <c r="C138" s="379" t="s">
        <v>4229</v>
      </c>
      <c r="D138" s="346">
        <v>300</v>
      </c>
      <c r="E138" s="47"/>
      <c r="F138" s="47"/>
      <c r="G138" s="47"/>
      <c r="H138" s="47"/>
      <c r="I138" s="47"/>
      <c r="J138" s="47">
        <v>96.3</v>
      </c>
      <c r="K138" s="47">
        <v>76.900000000000006</v>
      </c>
      <c r="L138" s="47"/>
      <c r="M138" s="47">
        <v>76.900000000000006</v>
      </c>
      <c r="N138" s="47"/>
      <c r="O138" s="47">
        <v>76.900000000000006</v>
      </c>
      <c r="P138" s="47"/>
      <c r="Q138" s="314">
        <f t="shared" si="5"/>
        <v>81.75</v>
      </c>
      <c r="R138" s="315" t="str">
        <f t="shared" si="6"/>
        <v>NO</v>
      </c>
      <c r="S138" s="316" t="str">
        <f t="shared" si="8"/>
        <v>Inviable Sanitariamente</v>
      </c>
    </row>
    <row r="139" spans="1:19" s="119" customFormat="1" ht="32.1" customHeight="1">
      <c r="A139" s="404" t="s">
        <v>205</v>
      </c>
      <c r="B139" s="340" t="s">
        <v>652</v>
      </c>
      <c r="C139" s="379" t="s">
        <v>4230</v>
      </c>
      <c r="D139" s="346">
        <v>65</v>
      </c>
      <c r="E139" s="47"/>
      <c r="F139" s="47"/>
      <c r="G139" s="47"/>
      <c r="H139" s="47"/>
      <c r="I139" s="47"/>
      <c r="J139" s="47">
        <v>96.3</v>
      </c>
      <c r="K139" s="47"/>
      <c r="L139" s="47"/>
      <c r="M139" s="47"/>
      <c r="N139" s="47"/>
      <c r="O139" s="47">
        <v>76.900000000000006</v>
      </c>
      <c r="P139" s="47"/>
      <c r="Q139" s="314">
        <f t="shared" si="5"/>
        <v>86.6</v>
      </c>
      <c r="R139" s="315" t="str">
        <f t="shared" si="6"/>
        <v>NO</v>
      </c>
      <c r="S139" s="316" t="str">
        <f t="shared" si="8"/>
        <v>Inviable Sanitariamente</v>
      </c>
    </row>
    <row r="140" spans="1:19" s="119" customFormat="1" ht="32.1" customHeight="1">
      <c r="A140" s="404" t="s">
        <v>205</v>
      </c>
      <c r="B140" s="340" t="s">
        <v>653</v>
      </c>
      <c r="C140" s="379" t="s">
        <v>4231</v>
      </c>
      <c r="D140" s="399">
        <v>40</v>
      </c>
      <c r="E140" s="47"/>
      <c r="F140" s="47"/>
      <c r="G140" s="47"/>
      <c r="H140" s="47"/>
      <c r="I140" s="47"/>
      <c r="J140" s="47">
        <v>96.3</v>
      </c>
      <c r="K140" s="47"/>
      <c r="L140" s="47"/>
      <c r="M140" s="47"/>
      <c r="N140" s="47"/>
      <c r="O140" s="47"/>
      <c r="P140" s="47">
        <v>84.2</v>
      </c>
      <c r="Q140" s="314">
        <f t="shared" si="5"/>
        <v>90.25</v>
      </c>
      <c r="R140" s="315" t="str">
        <f t="shared" si="6"/>
        <v>NO</v>
      </c>
      <c r="S140" s="316" t="str">
        <f t="shared" si="8"/>
        <v>Inviable Sanitariamente</v>
      </c>
    </row>
    <row r="141" spans="1:19" s="119" customFormat="1" ht="32.1" customHeight="1">
      <c r="A141" s="404" t="s">
        <v>205</v>
      </c>
      <c r="B141" s="340" t="s">
        <v>654</v>
      </c>
      <c r="C141" s="379" t="s">
        <v>655</v>
      </c>
      <c r="D141" s="346">
        <v>105</v>
      </c>
      <c r="E141" s="47"/>
      <c r="F141" s="47"/>
      <c r="G141" s="47"/>
      <c r="H141" s="47"/>
      <c r="I141" s="47">
        <v>96.3</v>
      </c>
      <c r="J141" s="47"/>
      <c r="K141" s="47"/>
      <c r="L141" s="47"/>
      <c r="M141" s="47"/>
      <c r="N141" s="47"/>
      <c r="O141" s="47">
        <v>76.900000000000006</v>
      </c>
      <c r="P141" s="47"/>
      <c r="Q141" s="314">
        <f t="shared" si="5"/>
        <v>86.6</v>
      </c>
      <c r="R141" s="315" t="str">
        <f t="shared" si="6"/>
        <v>NO</v>
      </c>
      <c r="S141" s="316" t="str">
        <f t="shared" si="8"/>
        <v>Inviable Sanitariamente</v>
      </c>
    </row>
    <row r="142" spans="1:19" s="119" customFormat="1" ht="32.1" customHeight="1">
      <c r="A142" s="404" t="s">
        <v>205</v>
      </c>
      <c r="B142" s="340" t="s">
        <v>656</v>
      </c>
      <c r="C142" s="379" t="s">
        <v>657</v>
      </c>
      <c r="D142" s="346">
        <v>87</v>
      </c>
      <c r="E142" s="47"/>
      <c r="F142" s="47"/>
      <c r="G142" s="47"/>
      <c r="H142" s="47"/>
      <c r="I142" s="47">
        <v>96.3</v>
      </c>
      <c r="J142" s="47"/>
      <c r="K142" s="47"/>
      <c r="L142" s="47"/>
      <c r="M142" s="47"/>
      <c r="N142" s="47"/>
      <c r="O142" s="47">
        <v>76.900000000000006</v>
      </c>
      <c r="P142" s="47"/>
      <c r="Q142" s="314">
        <f t="shared" si="5"/>
        <v>86.6</v>
      </c>
      <c r="R142" s="315" t="str">
        <f t="shared" si="6"/>
        <v>NO</v>
      </c>
      <c r="S142" s="316" t="str">
        <f t="shared" si="8"/>
        <v>Inviable Sanitariamente</v>
      </c>
    </row>
    <row r="143" spans="1:19" s="119" customFormat="1" ht="32.1" customHeight="1">
      <c r="A143" s="404" t="s">
        <v>205</v>
      </c>
      <c r="B143" s="340" t="s">
        <v>658</v>
      </c>
      <c r="C143" s="379" t="s">
        <v>4232</v>
      </c>
      <c r="D143" s="346">
        <v>55</v>
      </c>
      <c r="E143" s="47"/>
      <c r="F143" s="47"/>
      <c r="G143" s="47">
        <v>0</v>
      </c>
      <c r="H143" s="47"/>
      <c r="I143" s="47"/>
      <c r="J143" s="47"/>
      <c r="K143" s="47">
        <v>76.900000000000006</v>
      </c>
      <c r="L143" s="47"/>
      <c r="M143" s="47"/>
      <c r="N143" s="47"/>
      <c r="O143" s="47"/>
      <c r="P143" s="47"/>
      <c r="Q143" s="314">
        <f>AVERAGE(E143:P143)</f>
        <v>38.450000000000003</v>
      </c>
      <c r="R143" s="315" t="str">
        <f>IF(Q143&lt;5,"SI","NO")</f>
        <v>NO</v>
      </c>
      <c r="S143" s="316" t="str">
        <f>IF(Q143&lt;5,"Sin Riesgo",IF(Q143 &lt;=14,"Bajo",IF(Q143&lt;=35,"Medio",IF(Q143&lt;=80,"Alto","Inviable Sanitariamente"))))</f>
        <v>Alto</v>
      </c>
    </row>
    <row r="144" spans="1:19" s="119" customFormat="1" ht="32.1" customHeight="1">
      <c r="A144" s="404" t="s">
        <v>205</v>
      </c>
      <c r="B144" s="340" t="s">
        <v>659</v>
      </c>
      <c r="C144" s="379" t="s">
        <v>660</v>
      </c>
      <c r="D144" s="346">
        <v>125</v>
      </c>
      <c r="E144" s="47"/>
      <c r="F144" s="47">
        <v>94.3</v>
      </c>
      <c r="G144" s="47"/>
      <c r="H144" s="47"/>
      <c r="I144" s="47"/>
      <c r="J144" s="47"/>
      <c r="K144" s="47"/>
      <c r="L144" s="47"/>
      <c r="M144" s="47"/>
      <c r="N144" s="47">
        <v>76.900000000000006</v>
      </c>
      <c r="O144" s="47"/>
      <c r="P144" s="47"/>
      <c r="Q144" s="314">
        <f>AVERAGE(E144:P144)</f>
        <v>85.6</v>
      </c>
      <c r="R144" s="315" t="str">
        <f>IF(Q144&lt;5,"SI","NO")</f>
        <v>NO</v>
      </c>
      <c r="S144" s="316" t="str">
        <f>IF(Q144&lt;5,"Sin Riesgo",IF(Q144 &lt;=14,"Bajo",IF(Q144&lt;=35,"Medio",IF(Q144&lt;=80,"Alto","Inviable Sanitariamente"))))</f>
        <v>Inviable Sanitariamente</v>
      </c>
    </row>
    <row r="145" spans="1:19" s="119" customFormat="1" ht="32.1" customHeight="1">
      <c r="A145" s="404" t="s">
        <v>205</v>
      </c>
      <c r="B145" s="340" t="s">
        <v>3435</v>
      </c>
      <c r="C145" s="379" t="s">
        <v>4033</v>
      </c>
      <c r="D145" s="346">
        <v>18</v>
      </c>
      <c r="E145" s="47"/>
      <c r="F145" s="47"/>
      <c r="G145" s="47"/>
      <c r="H145" s="47">
        <v>36.1</v>
      </c>
      <c r="I145" s="47"/>
      <c r="J145" s="47"/>
      <c r="K145" s="47"/>
      <c r="L145" s="47">
        <v>96.3</v>
      </c>
      <c r="M145" s="47"/>
      <c r="N145" s="47"/>
      <c r="O145" s="47"/>
      <c r="P145" s="47"/>
      <c r="Q145" s="314">
        <f>AVERAGE(E145:P145)</f>
        <v>66.2</v>
      </c>
      <c r="R145" s="315" t="str">
        <f>IF(Q145&lt;5,"SI","NO")</f>
        <v>NO</v>
      </c>
      <c r="S145" s="316" t="str">
        <f>IF(Q145&lt;5,"Sin Riesgo",IF(Q145 &lt;=14,"Bajo",IF(Q145&lt;=35,"Medio",IF(Q145&lt;=80,"Alto","Inviable Sanitariamente"))))</f>
        <v>Alto</v>
      </c>
    </row>
    <row r="146" spans="1:19" s="119" customFormat="1" ht="32.1" customHeight="1">
      <c r="A146" s="404" t="s">
        <v>205</v>
      </c>
      <c r="B146" s="340" t="s">
        <v>1244</v>
      </c>
      <c r="C146" s="379" t="s">
        <v>4034</v>
      </c>
      <c r="D146" s="346">
        <v>52</v>
      </c>
      <c r="E146" s="47"/>
      <c r="F146" s="47"/>
      <c r="G146" s="47"/>
      <c r="H146" s="47">
        <v>36.1</v>
      </c>
      <c r="I146" s="47"/>
      <c r="J146" s="47"/>
      <c r="K146" s="47"/>
      <c r="L146" s="47"/>
      <c r="M146" s="47"/>
      <c r="N146" s="47"/>
      <c r="O146" s="47">
        <v>76.900000000000006</v>
      </c>
      <c r="P146" s="47"/>
      <c r="Q146" s="314">
        <f>AVERAGE(E146:P146)</f>
        <v>56.5</v>
      </c>
      <c r="R146" s="315" t="str">
        <f>IF(Q146&lt;5,"SI","NO")</f>
        <v>NO</v>
      </c>
      <c r="S146" s="316" t="str">
        <f>IF(Q146&lt;5,"Sin Riesgo",IF(Q146 &lt;=14,"Bajo",IF(Q146&lt;=35,"Medio",IF(Q146&lt;=80,"Alto","Inviable Sanitariamente"))))</f>
        <v>Alto</v>
      </c>
    </row>
    <row r="147" spans="1:19" s="119" customFormat="1" ht="32.1" customHeight="1">
      <c r="A147" s="404" t="s">
        <v>205</v>
      </c>
      <c r="B147" s="340" t="s">
        <v>970</v>
      </c>
      <c r="C147" s="379" t="s">
        <v>4035</v>
      </c>
      <c r="D147" s="346">
        <v>45</v>
      </c>
      <c r="E147" s="47"/>
      <c r="F147" s="47"/>
      <c r="G147" s="47"/>
      <c r="H147" s="47"/>
      <c r="I147" s="47"/>
      <c r="J147" s="47">
        <v>36.1</v>
      </c>
      <c r="K147" s="47"/>
      <c r="L147" s="47"/>
      <c r="M147" s="47"/>
      <c r="N147" s="47"/>
      <c r="O147" s="47"/>
      <c r="P147" s="47">
        <v>84.2</v>
      </c>
      <c r="Q147" s="314">
        <f>AVERAGE(E147:P147)</f>
        <v>60.150000000000006</v>
      </c>
      <c r="R147" s="315" t="str">
        <f>IF(Q147&lt;5,"SI","NO")</f>
        <v>NO</v>
      </c>
      <c r="S147" s="316" t="str">
        <f>IF(Q147&lt;5,"Sin Riesgo",IF(Q147 &lt;=14,"Bajo",IF(Q147&lt;=35,"Medio",IF(Q147&lt;=80,"Alto","Inviable Sanitariamente"))))</f>
        <v>Alto</v>
      </c>
    </row>
    <row r="148" spans="1:19" s="119" customFormat="1" ht="32.1" customHeight="1">
      <c r="A148" s="404" t="s">
        <v>205</v>
      </c>
      <c r="B148" s="340" t="s">
        <v>59</v>
      </c>
      <c r="C148" s="379" t="s">
        <v>4036</v>
      </c>
      <c r="D148" s="346">
        <v>50</v>
      </c>
      <c r="E148" s="47"/>
      <c r="F148" s="47"/>
      <c r="G148" s="47"/>
      <c r="H148" s="47"/>
      <c r="I148" s="47"/>
      <c r="J148" s="47">
        <v>96.3</v>
      </c>
      <c r="K148" s="47"/>
      <c r="L148" s="47"/>
      <c r="M148" s="47"/>
      <c r="N148" s="47"/>
      <c r="O148" s="47"/>
      <c r="P148" s="47">
        <v>84.2</v>
      </c>
      <c r="Q148" s="314">
        <f t="shared" si="5"/>
        <v>90.25</v>
      </c>
      <c r="R148" s="315" t="str">
        <f t="shared" si="6"/>
        <v>NO</v>
      </c>
      <c r="S148" s="316" t="str">
        <f t="shared" si="8"/>
        <v>Inviable Sanitariamente</v>
      </c>
    </row>
    <row r="149" spans="1:19" s="119" customFormat="1" ht="32.1" customHeight="1">
      <c r="A149" s="404" t="s">
        <v>206</v>
      </c>
      <c r="B149" s="362" t="s">
        <v>661</v>
      </c>
      <c r="C149" s="379" t="s">
        <v>662</v>
      </c>
      <c r="D149" s="346">
        <v>30</v>
      </c>
      <c r="E149" s="47"/>
      <c r="F149" s="47"/>
      <c r="G149" s="47"/>
      <c r="H149" s="47"/>
      <c r="I149" s="47">
        <v>53.1</v>
      </c>
      <c r="J149" s="343"/>
      <c r="K149" s="47"/>
      <c r="L149" s="47"/>
      <c r="M149" s="47">
        <v>31.5</v>
      </c>
      <c r="N149" s="47"/>
      <c r="O149" s="47"/>
      <c r="P149" s="47"/>
      <c r="Q149" s="314">
        <f>AVERAGE(E149:P149)</f>
        <v>42.3</v>
      </c>
      <c r="R149" s="315" t="str">
        <f t="shared" ref="R149:R214" si="9">IF(Q149&lt;5,"SI","NO")</f>
        <v>NO</v>
      </c>
      <c r="S149" s="316" t="str">
        <f t="shared" si="8"/>
        <v>Alto</v>
      </c>
    </row>
    <row r="150" spans="1:19" s="119" customFormat="1" ht="32.1" customHeight="1">
      <c r="A150" s="404" t="s">
        <v>206</v>
      </c>
      <c r="B150" s="362" t="s">
        <v>663</v>
      </c>
      <c r="C150" s="379" t="s">
        <v>664</v>
      </c>
      <c r="D150" s="346">
        <v>15</v>
      </c>
      <c r="E150" s="47"/>
      <c r="F150" s="47"/>
      <c r="G150" s="47"/>
      <c r="H150" s="47"/>
      <c r="I150" s="47"/>
      <c r="J150" s="453">
        <v>31.5</v>
      </c>
      <c r="K150" s="47"/>
      <c r="L150" s="47"/>
      <c r="M150" s="47"/>
      <c r="N150" s="47"/>
      <c r="O150" s="47">
        <v>96.3</v>
      </c>
      <c r="P150" s="47"/>
      <c r="Q150" s="314">
        <f t="shared" ref="Q150:Q214" si="10">AVERAGE(E150:P150)</f>
        <v>63.9</v>
      </c>
      <c r="R150" s="315" t="str">
        <f t="shared" si="9"/>
        <v>NO</v>
      </c>
      <c r="S150" s="316" t="str">
        <f t="shared" si="8"/>
        <v>Alto</v>
      </c>
    </row>
    <row r="151" spans="1:19" s="119" customFormat="1" ht="32.1" customHeight="1">
      <c r="A151" s="404" t="s">
        <v>206</v>
      </c>
      <c r="B151" s="362" t="s">
        <v>665</v>
      </c>
      <c r="C151" s="379" t="s">
        <v>666</v>
      </c>
      <c r="D151" s="346">
        <v>134</v>
      </c>
      <c r="E151" s="47"/>
      <c r="F151" s="47"/>
      <c r="G151" s="343"/>
      <c r="H151" s="47"/>
      <c r="I151" s="47">
        <v>53.1</v>
      </c>
      <c r="J151" s="47"/>
      <c r="K151" s="47"/>
      <c r="L151" s="47"/>
      <c r="M151" s="47"/>
      <c r="N151" s="47">
        <v>31.5</v>
      </c>
      <c r="O151" s="47"/>
      <c r="P151" s="47"/>
      <c r="Q151" s="314">
        <f t="shared" si="10"/>
        <v>42.3</v>
      </c>
      <c r="R151" s="315" t="str">
        <f t="shared" si="9"/>
        <v>NO</v>
      </c>
      <c r="S151" s="316" t="str">
        <f t="shared" si="8"/>
        <v>Alto</v>
      </c>
    </row>
    <row r="152" spans="1:19" s="119" customFormat="1" ht="32.1" customHeight="1">
      <c r="A152" s="404" t="s">
        <v>206</v>
      </c>
      <c r="B152" s="362" t="s">
        <v>667</v>
      </c>
      <c r="C152" s="379" t="s">
        <v>668</v>
      </c>
      <c r="D152" s="346">
        <v>15</v>
      </c>
      <c r="E152" s="47"/>
      <c r="F152" s="47"/>
      <c r="G152" s="47"/>
      <c r="H152" s="47"/>
      <c r="I152" s="47"/>
      <c r="J152" s="343">
        <v>31.5</v>
      </c>
      <c r="K152" s="47"/>
      <c r="L152" s="47"/>
      <c r="M152" s="47">
        <v>31.5</v>
      </c>
      <c r="N152" s="47"/>
      <c r="O152" s="47"/>
      <c r="P152" s="47"/>
      <c r="Q152" s="314">
        <f t="shared" si="10"/>
        <v>31.5</v>
      </c>
      <c r="R152" s="315" t="str">
        <f t="shared" si="9"/>
        <v>NO</v>
      </c>
      <c r="S152" s="316" t="str">
        <f t="shared" si="8"/>
        <v>Medio</v>
      </c>
    </row>
    <row r="153" spans="1:19" s="119" customFormat="1" ht="32.1" customHeight="1">
      <c r="A153" s="404" t="s">
        <v>206</v>
      </c>
      <c r="B153" s="338" t="s">
        <v>1068</v>
      </c>
      <c r="C153" s="550" t="s">
        <v>4415</v>
      </c>
      <c r="D153" s="475">
        <v>48</v>
      </c>
      <c r="E153" s="47"/>
      <c r="F153" s="47"/>
      <c r="G153" s="47"/>
      <c r="H153" s="47"/>
      <c r="I153" s="47">
        <v>53.1</v>
      </c>
      <c r="J153" s="47"/>
      <c r="K153" s="47"/>
      <c r="L153" s="47"/>
      <c r="M153" s="47"/>
      <c r="N153" s="47"/>
      <c r="O153" s="47"/>
      <c r="P153" s="47"/>
      <c r="Q153" s="314">
        <f t="shared" si="10"/>
        <v>53.1</v>
      </c>
      <c r="R153" s="476" t="str">
        <f t="shared" si="9"/>
        <v>NO</v>
      </c>
      <c r="S153" s="477" t="str">
        <f t="shared" si="8"/>
        <v>Alto</v>
      </c>
    </row>
    <row r="154" spans="1:19" s="119" customFormat="1" ht="32.1" customHeight="1">
      <c r="A154" s="564" t="s">
        <v>208</v>
      </c>
      <c r="B154" s="601" t="s">
        <v>669</v>
      </c>
      <c r="C154" s="674" t="s">
        <v>670</v>
      </c>
      <c r="D154" s="304">
        <v>140</v>
      </c>
      <c r="E154" s="47"/>
      <c r="F154" s="47"/>
      <c r="G154" s="47"/>
      <c r="H154" s="47"/>
      <c r="I154" s="47"/>
      <c r="J154" s="47">
        <v>56.5</v>
      </c>
      <c r="K154" s="47"/>
      <c r="L154" s="47"/>
      <c r="M154" s="47"/>
      <c r="N154" s="47"/>
      <c r="O154" s="47"/>
      <c r="P154" s="47"/>
      <c r="Q154" s="314">
        <f t="shared" si="10"/>
        <v>56.5</v>
      </c>
      <c r="R154" s="315" t="str">
        <f t="shared" si="9"/>
        <v>NO</v>
      </c>
      <c r="S154" s="316" t="str">
        <f t="shared" si="8"/>
        <v>Alto</v>
      </c>
    </row>
    <row r="155" spans="1:19" s="119" customFormat="1" ht="32.1" customHeight="1">
      <c r="A155" s="564" t="s">
        <v>208</v>
      </c>
      <c r="B155" s="601" t="s">
        <v>671</v>
      </c>
      <c r="C155" s="674" t="s">
        <v>672</v>
      </c>
      <c r="D155" s="304">
        <v>90</v>
      </c>
      <c r="E155" s="47">
        <v>0</v>
      </c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314">
        <f t="shared" si="10"/>
        <v>0</v>
      </c>
      <c r="R155" s="315" t="str">
        <f t="shared" si="9"/>
        <v>SI</v>
      </c>
      <c r="S155" s="316" t="str">
        <f t="shared" si="8"/>
        <v>Sin Riesgo</v>
      </c>
    </row>
    <row r="156" spans="1:19" s="119" customFormat="1" ht="32.1" customHeight="1">
      <c r="A156" s="564" t="s">
        <v>208</v>
      </c>
      <c r="B156" s="601" t="s">
        <v>673</v>
      </c>
      <c r="C156" s="674" t="s">
        <v>674</v>
      </c>
      <c r="D156" s="304">
        <v>60</v>
      </c>
      <c r="E156" s="47">
        <v>0</v>
      </c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314">
        <f t="shared" si="10"/>
        <v>0</v>
      </c>
      <c r="R156" s="315" t="str">
        <f t="shared" si="9"/>
        <v>SI</v>
      </c>
      <c r="S156" s="316" t="str">
        <f t="shared" si="8"/>
        <v>Sin Riesgo</v>
      </c>
    </row>
    <row r="157" spans="1:19" s="119" customFormat="1" ht="32.1" customHeight="1">
      <c r="A157" s="564" t="s">
        <v>208</v>
      </c>
      <c r="B157" s="586" t="s">
        <v>675</v>
      </c>
      <c r="C157" s="675" t="s">
        <v>676</v>
      </c>
      <c r="D157" s="478">
        <v>235</v>
      </c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>
        <v>0</v>
      </c>
      <c r="Q157" s="314">
        <f t="shared" si="10"/>
        <v>0</v>
      </c>
      <c r="R157" s="315" t="str">
        <f t="shared" si="9"/>
        <v>SI</v>
      </c>
      <c r="S157" s="316" t="str">
        <f t="shared" si="8"/>
        <v>Sin Riesgo</v>
      </c>
    </row>
    <row r="158" spans="1:19" s="119" customFormat="1" ht="32.1" customHeight="1">
      <c r="A158" s="564" t="s">
        <v>208</v>
      </c>
      <c r="B158" s="601" t="s">
        <v>677</v>
      </c>
      <c r="C158" s="674" t="s">
        <v>678</v>
      </c>
      <c r="D158" s="304">
        <v>385</v>
      </c>
      <c r="E158" s="47">
        <v>0</v>
      </c>
      <c r="F158" s="47">
        <v>0</v>
      </c>
      <c r="G158" s="47"/>
      <c r="H158" s="47"/>
      <c r="I158" s="47"/>
      <c r="J158" s="47">
        <v>0</v>
      </c>
      <c r="K158" s="47"/>
      <c r="L158" s="47">
        <v>0</v>
      </c>
      <c r="M158" s="47"/>
      <c r="N158" s="47"/>
      <c r="O158" s="47"/>
      <c r="P158" s="47"/>
      <c r="Q158" s="314">
        <f t="shared" si="10"/>
        <v>0</v>
      </c>
      <c r="R158" s="315" t="str">
        <f t="shared" si="9"/>
        <v>SI</v>
      </c>
      <c r="S158" s="316" t="str">
        <f t="shared" si="8"/>
        <v>Sin Riesgo</v>
      </c>
    </row>
    <row r="159" spans="1:19" s="119" customFormat="1" ht="32.1" customHeight="1">
      <c r="A159" s="564" t="s">
        <v>208</v>
      </c>
      <c r="B159" s="601" t="s">
        <v>679</v>
      </c>
      <c r="C159" s="674" t="s">
        <v>680</v>
      </c>
      <c r="D159" s="304">
        <v>140</v>
      </c>
      <c r="E159" s="47"/>
      <c r="F159" s="47"/>
      <c r="G159" s="47"/>
      <c r="H159" s="47"/>
      <c r="I159" s="47"/>
      <c r="J159" s="47"/>
      <c r="K159" s="47">
        <v>100</v>
      </c>
      <c r="L159" s="47"/>
      <c r="M159" s="47"/>
      <c r="N159" s="47"/>
      <c r="O159" s="47"/>
      <c r="P159" s="47"/>
      <c r="Q159" s="314">
        <f t="shared" si="10"/>
        <v>100</v>
      </c>
      <c r="R159" s="315" t="str">
        <f t="shared" si="9"/>
        <v>NO</v>
      </c>
      <c r="S159" s="316" t="str">
        <f t="shared" si="8"/>
        <v>Inviable Sanitariamente</v>
      </c>
    </row>
    <row r="160" spans="1:19" s="119" customFormat="1" ht="32.1" customHeight="1">
      <c r="A160" s="564" t="s">
        <v>208</v>
      </c>
      <c r="B160" s="601" t="s">
        <v>681</v>
      </c>
      <c r="C160" s="674" t="s">
        <v>682</v>
      </c>
      <c r="D160" s="304">
        <v>170</v>
      </c>
      <c r="E160" s="47"/>
      <c r="F160" s="47"/>
      <c r="G160" s="47"/>
      <c r="H160" s="47"/>
      <c r="I160" s="47"/>
      <c r="J160" s="47">
        <v>26.55</v>
      </c>
      <c r="K160" s="47"/>
      <c r="L160" s="47"/>
      <c r="M160" s="47"/>
      <c r="N160" s="47">
        <v>0</v>
      </c>
      <c r="O160" s="47"/>
      <c r="P160" s="47"/>
      <c r="Q160" s="314">
        <f t="shared" si="10"/>
        <v>13.275</v>
      </c>
      <c r="R160" s="315" t="str">
        <f t="shared" si="9"/>
        <v>NO</v>
      </c>
      <c r="S160" s="316" t="str">
        <f t="shared" si="8"/>
        <v>Bajo</v>
      </c>
    </row>
    <row r="161" spans="1:20" s="119" customFormat="1" ht="32.1" customHeight="1">
      <c r="A161" s="404" t="s">
        <v>208</v>
      </c>
      <c r="B161" s="340" t="s">
        <v>683</v>
      </c>
      <c r="C161" s="379" t="s">
        <v>684</v>
      </c>
      <c r="D161" s="419">
        <v>580</v>
      </c>
      <c r="E161" s="407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>
        <v>0</v>
      </c>
      <c r="Q161" s="314">
        <f t="shared" si="10"/>
        <v>0</v>
      </c>
      <c r="R161" s="315" t="str">
        <f t="shared" si="9"/>
        <v>SI</v>
      </c>
      <c r="S161" s="316" t="str">
        <f t="shared" si="8"/>
        <v>Sin Riesgo</v>
      </c>
    </row>
    <row r="162" spans="1:20" s="119" customFormat="1" ht="32.1" customHeight="1">
      <c r="A162" s="404" t="s">
        <v>208</v>
      </c>
      <c r="B162" s="340" t="s">
        <v>685</v>
      </c>
      <c r="C162" s="379" t="s">
        <v>686</v>
      </c>
      <c r="D162" s="418">
        <v>182</v>
      </c>
      <c r="E162" s="407"/>
      <c r="F162" s="407"/>
      <c r="G162" s="407"/>
      <c r="H162" s="407"/>
      <c r="I162" s="407"/>
      <c r="J162" s="407"/>
      <c r="K162" s="407"/>
      <c r="L162" s="407"/>
      <c r="M162" s="407"/>
      <c r="N162" s="407"/>
      <c r="O162" s="407"/>
      <c r="P162" s="407">
        <v>0</v>
      </c>
      <c r="Q162" s="314">
        <f t="shared" si="10"/>
        <v>0</v>
      </c>
      <c r="R162" s="315" t="str">
        <f t="shared" si="9"/>
        <v>SI</v>
      </c>
      <c r="S162" s="316" t="str">
        <f t="shared" si="8"/>
        <v>Sin Riesgo</v>
      </c>
    </row>
    <row r="163" spans="1:20" s="119" customFormat="1" ht="32.1" customHeight="1">
      <c r="A163" s="404" t="s">
        <v>208</v>
      </c>
      <c r="B163" s="340" t="s">
        <v>687</v>
      </c>
      <c r="C163" s="379" t="s">
        <v>688</v>
      </c>
      <c r="D163" s="418">
        <v>48</v>
      </c>
      <c r="E163" s="407"/>
      <c r="F163" s="407"/>
      <c r="G163" s="407"/>
      <c r="H163" s="407"/>
      <c r="I163" s="407"/>
      <c r="J163" s="407"/>
      <c r="K163" s="407"/>
      <c r="L163" s="407"/>
      <c r="M163" s="407"/>
      <c r="N163" s="407"/>
      <c r="O163" s="407"/>
      <c r="P163" s="407">
        <v>0</v>
      </c>
      <c r="Q163" s="314">
        <f t="shared" si="10"/>
        <v>0</v>
      </c>
      <c r="R163" s="315" t="str">
        <f t="shared" si="9"/>
        <v>SI</v>
      </c>
      <c r="S163" s="316" t="str">
        <f t="shared" si="8"/>
        <v>Sin Riesgo</v>
      </c>
    </row>
    <row r="164" spans="1:20" s="119" customFormat="1" ht="32.1" customHeight="1">
      <c r="A164" s="404" t="s">
        <v>208</v>
      </c>
      <c r="B164" s="340" t="s">
        <v>689</v>
      </c>
      <c r="C164" s="379" t="s">
        <v>690</v>
      </c>
      <c r="D164" s="419">
        <v>180</v>
      </c>
      <c r="E164" s="407"/>
      <c r="F164" s="407"/>
      <c r="G164" s="407"/>
      <c r="H164" s="407"/>
      <c r="I164" s="407"/>
      <c r="J164" s="407"/>
      <c r="K164" s="407"/>
      <c r="L164" s="407"/>
      <c r="M164" s="407"/>
      <c r="N164" s="407"/>
      <c r="O164" s="407"/>
      <c r="P164" s="407">
        <v>0</v>
      </c>
      <c r="Q164" s="314">
        <f t="shared" si="10"/>
        <v>0</v>
      </c>
      <c r="R164" s="315" t="str">
        <f t="shared" si="9"/>
        <v>SI</v>
      </c>
      <c r="S164" s="316" t="str">
        <f t="shared" si="8"/>
        <v>Sin Riesgo</v>
      </c>
    </row>
    <row r="165" spans="1:20" s="119" customFormat="1" ht="32.1" customHeight="1">
      <c r="A165" s="564" t="s">
        <v>208</v>
      </c>
      <c r="B165" s="601" t="s">
        <v>691</v>
      </c>
      <c r="C165" s="674" t="s">
        <v>692</v>
      </c>
      <c r="D165" s="304">
        <v>385</v>
      </c>
      <c r="E165" s="47">
        <v>0</v>
      </c>
      <c r="F165" s="47">
        <v>0</v>
      </c>
      <c r="G165" s="47"/>
      <c r="H165" s="47"/>
      <c r="I165" s="47"/>
      <c r="J165" s="47">
        <v>0</v>
      </c>
      <c r="K165" s="47"/>
      <c r="L165" s="47">
        <v>0</v>
      </c>
      <c r="M165" s="47"/>
      <c r="N165" s="47"/>
      <c r="O165" s="47"/>
      <c r="P165" s="47"/>
      <c r="Q165" s="314">
        <f t="shared" si="10"/>
        <v>0</v>
      </c>
      <c r="R165" s="315" t="str">
        <f t="shared" si="9"/>
        <v>SI</v>
      </c>
      <c r="S165" s="316" t="str">
        <f t="shared" si="8"/>
        <v>Sin Riesgo</v>
      </c>
    </row>
    <row r="166" spans="1:20" s="119" customFormat="1" ht="32.1" customHeight="1">
      <c r="A166" s="564" t="s">
        <v>208</v>
      </c>
      <c r="B166" s="586" t="s">
        <v>693</v>
      </c>
      <c r="C166" s="675" t="s">
        <v>694</v>
      </c>
      <c r="D166" s="418">
        <v>1350</v>
      </c>
      <c r="E166" s="407"/>
      <c r="F166" s="407"/>
      <c r="G166" s="407"/>
      <c r="H166" s="407"/>
      <c r="I166" s="407"/>
      <c r="J166" s="407"/>
      <c r="K166" s="407"/>
      <c r="L166" s="407"/>
      <c r="M166" s="407"/>
      <c r="N166" s="407"/>
      <c r="O166" s="407"/>
      <c r="P166" s="407">
        <v>0</v>
      </c>
      <c r="Q166" s="314">
        <f t="shared" si="10"/>
        <v>0</v>
      </c>
      <c r="R166" s="315" t="str">
        <f t="shared" si="9"/>
        <v>SI</v>
      </c>
      <c r="S166" s="316" t="str">
        <f t="shared" si="8"/>
        <v>Sin Riesgo</v>
      </c>
    </row>
    <row r="167" spans="1:20" s="119" customFormat="1" ht="32.1" customHeight="1">
      <c r="A167" s="564" t="s">
        <v>208</v>
      </c>
      <c r="B167" s="601" t="s">
        <v>695</v>
      </c>
      <c r="C167" s="674" t="s">
        <v>696</v>
      </c>
      <c r="D167" s="304">
        <v>509</v>
      </c>
      <c r="E167" s="47">
        <v>0</v>
      </c>
      <c r="F167" s="47"/>
      <c r="G167" s="47">
        <v>0</v>
      </c>
      <c r="H167" s="47"/>
      <c r="I167" s="47">
        <v>0</v>
      </c>
      <c r="J167" s="47"/>
      <c r="K167" s="47"/>
      <c r="L167" s="47"/>
      <c r="M167" s="47"/>
      <c r="N167" s="47"/>
      <c r="O167" s="47"/>
      <c r="P167" s="47"/>
      <c r="Q167" s="314">
        <f t="shared" si="10"/>
        <v>0</v>
      </c>
      <c r="R167" s="315" t="str">
        <f t="shared" si="9"/>
        <v>SI</v>
      </c>
      <c r="S167" s="316" t="str">
        <f t="shared" si="8"/>
        <v>Sin Riesgo</v>
      </c>
      <c r="T167" s="120"/>
    </row>
    <row r="168" spans="1:20" s="119" customFormat="1" ht="32.1" customHeight="1">
      <c r="A168" s="564" t="s">
        <v>208</v>
      </c>
      <c r="B168" s="601" t="s">
        <v>697</v>
      </c>
      <c r="C168" s="674" t="s">
        <v>698</v>
      </c>
      <c r="D168" s="304">
        <v>186</v>
      </c>
      <c r="E168" s="47">
        <v>0</v>
      </c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314">
        <f t="shared" si="10"/>
        <v>0</v>
      </c>
      <c r="R168" s="315" t="str">
        <f t="shared" si="9"/>
        <v>SI</v>
      </c>
      <c r="S168" s="316" t="str">
        <f t="shared" ref="S168:S199" si="11">IF(Q168&lt;5,"Sin Riesgo",IF(Q168 &lt;=14,"Bajo",IF(Q168&lt;=35,"Medio",IF(Q168&lt;=80,"Alto","Inviable Sanitariamente"))))</f>
        <v>Sin Riesgo</v>
      </c>
      <c r="T168" s="120"/>
    </row>
    <row r="169" spans="1:20" s="119" customFormat="1" ht="32.1" customHeight="1">
      <c r="A169" s="564" t="s">
        <v>208</v>
      </c>
      <c r="B169" s="586" t="s">
        <v>699</v>
      </c>
      <c r="C169" s="675" t="s">
        <v>700</v>
      </c>
      <c r="D169" s="478">
        <v>467</v>
      </c>
      <c r="E169" s="407"/>
      <c r="F169" s="407"/>
      <c r="G169" s="407"/>
      <c r="H169" s="407"/>
      <c r="I169" s="407"/>
      <c r="J169" s="407"/>
      <c r="K169" s="407"/>
      <c r="L169" s="407"/>
      <c r="M169" s="407"/>
      <c r="N169" s="407"/>
      <c r="O169" s="407"/>
      <c r="P169" s="407">
        <v>0</v>
      </c>
      <c r="Q169" s="314">
        <f t="shared" si="10"/>
        <v>0</v>
      </c>
      <c r="R169" s="315" t="str">
        <f t="shared" si="9"/>
        <v>SI</v>
      </c>
      <c r="S169" s="316" t="str">
        <f t="shared" si="11"/>
        <v>Sin Riesgo</v>
      </c>
      <c r="T169" s="120"/>
    </row>
    <row r="170" spans="1:20" s="119" customFormat="1" ht="32.1" customHeight="1">
      <c r="A170" s="564" t="s">
        <v>208</v>
      </c>
      <c r="B170" s="601" t="s">
        <v>701</v>
      </c>
      <c r="C170" s="674" t="s">
        <v>702</v>
      </c>
      <c r="D170" s="304">
        <v>150</v>
      </c>
      <c r="E170" s="47"/>
      <c r="F170" s="47">
        <v>0</v>
      </c>
      <c r="G170" s="47"/>
      <c r="H170" s="47"/>
      <c r="I170" s="47"/>
      <c r="J170" s="47">
        <v>20.98</v>
      </c>
      <c r="K170" s="47"/>
      <c r="L170" s="47"/>
      <c r="M170" s="47"/>
      <c r="N170" s="47"/>
      <c r="O170" s="47"/>
      <c r="P170" s="47"/>
      <c r="Q170" s="314">
        <f t="shared" si="10"/>
        <v>10.49</v>
      </c>
      <c r="R170" s="315" t="str">
        <f t="shared" si="9"/>
        <v>NO</v>
      </c>
      <c r="S170" s="316" t="str">
        <f t="shared" si="11"/>
        <v>Bajo</v>
      </c>
      <c r="T170" s="120"/>
    </row>
    <row r="171" spans="1:20" s="119" customFormat="1" ht="32.1" customHeight="1">
      <c r="A171" s="564" t="s">
        <v>208</v>
      </c>
      <c r="B171" s="601" t="s">
        <v>703</v>
      </c>
      <c r="C171" s="674" t="s">
        <v>704</v>
      </c>
      <c r="D171" s="304">
        <v>232</v>
      </c>
      <c r="E171" s="47">
        <v>0</v>
      </c>
      <c r="F171" s="47"/>
      <c r="G171" s="390">
        <v>0</v>
      </c>
      <c r="H171" s="47"/>
      <c r="I171" s="47">
        <v>0</v>
      </c>
      <c r="J171" s="47"/>
      <c r="K171" s="47"/>
      <c r="L171" s="47"/>
      <c r="M171" s="47"/>
      <c r="N171" s="47"/>
      <c r="O171" s="47"/>
      <c r="P171" s="47"/>
      <c r="Q171" s="314">
        <f t="shared" si="10"/>
        <v>0</v>
      </c>
      <c r="R171" s="315" t="str">
        <f t="shared" si="9"/>
        <v>SI</v>
      </c>
      <c r="S171" s="316" t="str">
        <f t="shared" si="11"/>
        <v>Sin Riesgo</v>
      </c>
      <c r="T171" s="120"/>
    </row>
    <row r="172" spans="1:20" s="119" customFormat="1" ht="32.1" customHeight="1">
      <c r="A172" s="564" t="s">
        <v>208</v>
      </c>
      <c r="B172" s="601" t="s">
        <v>705</v>
      </c>
      <c r="C172" s="674" t="s">
        <v>706</v>
      </c>
      <c r="D172" s="304">
        <v>590</v>
      </c>
      <c r="E172" s="47"/>
      <c r="F172" s="47">
        <v>97.35</v>
      </c>
      <c r="G172" s="47"/>
      <c r="H172" s="47"/>
      <c r="I172" s="47"/>
      <c r="J172" s="47">
        <v>0</v>
      </c>
      <c r="K172" s="47"/>
      <c r="L172" s="47"/>
      <c r="M172" s="47"/>
      <c r="N172" s="47"/>
      <c r="O172" s="47"/>
      <c r="P172" s="47"/>
      <c r="Q172" s="314">
        <f t="shared" si="10"/>
        <v>48.674999999999997</v>
      </c>
      <c r="R172" s="315" t="str">
        <f t="shared" si="9"/>
        <v>NO</v>
      </c>
      <c r="S172" s="316" t="str">
        <f t="shared" si="11"/>
        <v>Alto</v>
      </c>
      <c r="T172" s="120"/>
    </row>
    <row r="173" spans="1:20" s="119" customFormat="1" ht="32.1" customHeight="1">
      <c r="A173" s="564" t="s">
        <v>208</v>
      </c>
      <c r="B173" s="601" t="s">
        <v>707</v>
      </c>
      <c r="C173" s="674" t="s">
        <v>708</v>
      </c>
      <c r="D173" s="304">
        <v>134</v>
      </c>
      <c r="E173" s="47"/>
      <c r="F173" s="47">
        <v>97.35</v>
      </c>
      <c r="G173" s="47"/>
      <c r="H173" s="47"/>
      <c r="I173" s="47"/>
      <c r="J173" s="47">
        <v>0</v>
      </c>
      <c r="K173" s="47"/>
      <c r="L173" s="47"/>
      <c r="M173" s="47"/>
      <c r="N173" s="47"/>
      <c r="O173" s="47"/>
      <c r="P173" s="47"/>
      <c r="Q173" s="314">
        <f t="shared" si="10"/>
        <v>48.674999999999997</v>
      </c>
      <c r="R173" s="315" t="str">
        <f t="shared" si="9"/>
        <v>NO</v>
      </c>
      <c r="S173" s="316" t="str">
        <f t="shared" si="11"/>
        <v>Alto</v>
      </c>
      <c r="T173" s="120"/>
    </row>
    <row r="174" spans="1:20" s="119" customFormat="1" ht="32.1" customHeight="1">
      <c r="A174" s="564" t="s">
        <v>208</v>
      </c>
      <c r="B174" s="601" t="s">
        <v>709</v>
      </c>
      <c r="C174" s="674" t="s">
        <v>710</v>
      </c>
      <c r="D174" s="304">
        <v>420</v>
      </c>
      <c r="E174" s="47"/>
      <c r="F174" s="47">
        <v>97.35</v>
      </c>
      <c r="G174" s="47"/>
      <c r="H174" s="47"/>
      <c r="I174" s="47"/>
      <c r="J174" s="47">
        <v>0</v>
      </c>
      <c r="K174" s="47"/>
      <c r="L174" s="47"/>
      <c r="M174" s="47"/>
      <c r="N174" s="47"/>
      <c r="O174" s="47"/>
      <c r="P174" s="47"/>
      <c r="Q174" s="314">
        <f t="shared" si="10"/>
        <v>48.674999999999997</v>
      </c>
      <c r="R174" s="315" t="str">
        <f t="shared" si="9"/>
        <v>NO</v>
      </c>
      <c r="S174" s="316" t="str">
        <f t="shared" si="11"/>
        <v>Alto</v>
      </c>
      <c r="T174" s="120"/>
    </row>
    <row r="175" spans="1:20" s="119" customFormat="1" ht="32.1" customHeight="1">
      <c r="A175" s="564" t="s">
        <v>208</v>
      </c>
      <c r="B175" s="601" t="s">
        <v>711</v>
      </c>
      <c r="C175" s="674" t="s">
        <v>712</v>
      </c>
      <c r="D175" s="304">
        <v>210</v>
      </c>
      <c r="E175" s="47">
        <v>0</v>
      </c>
      <c r="F175" s="47"/>
      <c r="G175" s="47"/>
      <c r="H175" s="47"/>
      <c r="I175" s="47"/>
      <c r="J175" s="47">
        <v>0</v>
      </c>
      <c r="K175" s="47"/>
      <c r="L175" s="47">
        <v>0</v>
      </c>
      <c r="M175" s="47"/>
      <c r="N175" s="47"/>
      <c r="O175" s="47"/>
      <c r="P175" s="47"/>
      <c r="Q175" s="314">
        <f t="shared" si="10"/>
        <v>0</v>
      </c>
      <c r="R175" s="315" t="str">
        <f t="shared" si="9"/>
        <v>SI</v>
      </c>
      <c r="S175" s="316" t="str">
        <f t="shared" si="11"/>
        <v>Sin Riesgo</v>
      </c>
      <c r="T175" s="120"/>
    </row>
    <row r="176" spans="1:20" s="119" customFormat="1" ht="32.1" customHeight="1">
      <c r="A176" s="564" t="s">
        <v>208</v>
      </c>
      <c r="B176" s="601" t="s">
        <v>713</v>
      </c>
      <c r="C176" s="674" t="s">
        <v>714</v>
      </c>
      <c r="D176" s="304">
        <v>160</v>
      </c>
      <c r="E176" s="47">
        <v>0</v>
      </c>
      <c r="F176" s="47"/>
      <c r="G176" s="47"/>
      <c r="H176" s="47"/>
      <c r="I176" s="47"/>
      <c r="J176" s="47"/>
      <c r="K176" s="47">
        <v>0</v>
      </c>
      <c r="L176" s="47"/>
      <c r="M176" s="47"/>
      <c r="N176" s="47"/>
      <c r="O176" s="47"/>
      <c r="P176" s="47"/>
      <c r="Q176" s="314">
        <f t="shared" si="10"/>
        <v>0</v>
      </c>
      <c r="R176" s="315" t="str">
        <f t="shared" si="9"/>
        <v>SI</v>
      </c>
      <c r="S176" s="316" t="str">
        <f t="shared" si="11"/>
        <v>Sin Riesgo</v>
      </c>
      <c r="T176" s="120"/>
    </row>
    <row r="177" spans="1:20" s="119" customFormat="1" ht="32.1" customHeight="1">
      <c r="A177" s="564" t="s">
        <v>208</v>
      </c>
      <c r="B177" s="601" t="s">
        <v>707</v>
      </c>
      <c r="C177" s="674" t="s">
        <v>715</v>
      </c>
      <c r="D177" s="304">
        <v>134</v>
      </c>
      <c r="E177" s="47"/>
      <c r="F177" s="47"/>
      <c r="G177" s="47"/>
      <c r="H177" s="47"/>
      <c r="I177" s="47"/>
      <c r="J177" s="47">
        <v>97.35</v>
      </c>
      <c r="K177" s="47"/>
      <c r="L177" s="47"/>
      <c r="M177" s="47"/>
      <c r="N177" s="47"/>
      <c r="O177" s="47"/>
      <c r="P177" s="47"/>
      <c r="Q177" s="314">
        <f t="shared" si="10"/>
        <v>97.35</v>
      </c>
      <c r="R177" s="315" t="str">
        <f t="shared" si="9"/>
        <v>NO</v>
      </c>
      <c r="S177" s="316" t="str">
        <f t="shared" si="11"/>
        <v>Inviable Sanitariamente</v>
      </c>
      <c r="T177" s="120"/>
    </row>
    <row r="178" spans="1:20" s="119" customFormat="1" ht="32.1" customHeight="1">
      <c r="A178" s="564" t="s">
        <v>208</v>
      </c>
      <c r="B178" s="601" t="s">
        <v>709</v>
      </c>
      <c r="C178" s="674" t="s">
        <v>716</v>
      </c>
      <c r="D178" s="304">
        <v>420</v>
      </c>
      <c r="E178" s="47">
        <v>0</v>
      </c>
      <c r="F178" s="47"/>
      <c r="G178" s="47">
        <v>0</v>
      </c>
      <c r="H178" s="47"/>
      <c r="I178" s="47">
        <v>0</v>
      </c>
      <c r="J178" s="47"/>
      <c r="K178" s="47"/>
      <c r="L178" s="47"/>
      <c r="M178" s="47"/>
      <c r="N178" s="47"/>
      <c r="O178" s="47"/>
      <c r="P178" s="47"/>
      <c r="Q178" s="314">
        <f t="shared" si="10"/>
        <v>0</v>
      </c>
      <c r="R178" s="315" t="str">
        <f t="shared" si="9"/>
        <v>SI</v>
      </c>
      <c r="S178" s="316" t="str">
        <f t="shared" si="11"/>
        <v>Sin Riesgo</v>
      </c>
      <c r="T178" s="120"/>
    </row>
    <row r="179" spans="1:20" s="119" customFormat="1" ht="32.1" customHeight="1">
      <c r="A179" s="564" t="s">
        <v>208</v>
      </c>
      <c r="B179" s="601" t="s">
        <v>717</v>
      </c>
      <c r="C179" s="674" t="s">
        <v>718</v>
      </c>
      <c r="D179" s="304">
        <v>85</v>
      </c>
      <c r="E179" s="47">
        <v>0</v>
      </c>
      <c r="F179" s="47"/>
      <c r="G179" s="47">
        <v>0</v>
      </c>
      <c r="H179" s="47"/>
      <c r="I179" s="47">
        <v>0</v>
      </c>
      <c r="J179" s="47"/>
      <c r="K179" s="47"/>
      <c r="L179" s="47"/>
      <c r="M179" s="47"/>
      <c r="N179" s="47"/>
      <c r="O179" s="47"/>
      <c r="P179" s="47"/>
      <c r="Q179" s="314">
        <f t="shared" si="10"/>
        <v>0</v>
      </c>
      <c r="R179" s="315" t="str">
        <f t="shared" si="9"/>
        <v>SI</v>
      </c>
      <c r="S179" s="316" t="str">
        <f t="shared" si="11"/>
        <v>Sin Riesgo</v>
      </c>
      <c r="T179" s="120"/>
    </row>
    <row r="180" spans="1:20" s="119" customFormat="1" ht="32.1" customHeight="1">
      <c r="A180" s="564" t="s">
        <v>208</v>
      </c>
      <c r="B180" s="601" t="s">
        <v>695</v>
      </c>
      <c r="C180" s="674" t="s">
        <v>719</v>
      </c>
      <c r="D180" s="304">
        <v>12</v>
      </c>
      <c r="E180" s="47">
        <v>0</v>
      </c>
      <c r="F180" s="47"/>
      <c r="G180" s="47"/>
      <c r="H180" s="47"/>
      <c r="I180" s="47"/>
      <c r="J180" s="47"/>
      <c r="K180" s="47"/>
      <c r="L180" s="47"/>
      <c r="M180" s="47"/>
      <c r="N180" s="47"/>
      <c r="O180" s="47">
        <v>0</v>
      </c>
      <c r="P180" s="47"/>
      <c r="Q180" s="314">
        <f t="shared" si="10"/>
        <v>0</v>
      </c>
      <c r="R180" s="315" t="str">
        <f t="shared" si="9"/>
        <v>SI</v>
      </c>
      <c r="S180" s="316" t="str">
        <f t="shared" si="11"/>
        <v>Sin Riesgo</v>
      </c>
      <c r="T180" s="120"/>
    </row>
    <row r="181" spans="1:20" s="119" customFormat="1" ht="32.1" customHeight="1">
      <c r="A181" s="564" t="s">
        <v>208</v>
      </c>
      <c r="B181" s="601" t="s">
        <v>685</v>
      </c>
      <c r="C181" s="674" t="s">
        <v>720</v>
      </c>
      <c r="D181" s="304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314"/>
      <c r="R181" s="315"/>
      <c r="S181" s="316"/>
      <c r="T181" s="120"/>
    </row>
    <row r="182" spans="1:20" s="119" customFormat="1" ht="32.1" customHeight="1">
      <c r="A182" s="564" t="s">
        <v>209</v>
      </c>
      <c r="B182" s="676" t="s">
        <v>877</v>
      </c>
      <c r="C182" s="677" t="s">
        <v>890</v>
      </c>
      <c r="D182" s="304">
        <v>95</v>
      </c>
      <c r="E182" s="47">
        <v>47.62</v>
      </c>
      <c r="F182" s="47"/>
      <c r="G182" s="390"/>
      <c r="H182" s="47">
        <v>76.92</v>
      </c>
      <c r="I182" s="47"/>
      <c r="J182" s="47">
        <v>41.96</v>
      </c>
      <c r="K182" s="47"/>
      <c r="L182" s="47"/>
      <c r="M182" s="47"/>
      <c r="N182" s="47"/>
      <c r="O182" s="47"/>
      <c r="P182" s="47"/>
      <c r="Q182" s="314">
        <f t="shared" si="10"/>
        <v>55.5</v>
      </c>
      <c r="R182" s="315" t="str">
        <f t="shared" si="9"/>
        <v>NO</v>
      </c>
      <c r="S182" s="316" t="str">
        <f t="shared" si="11"/>
        <v>Alto</v>
      </c>
      <c r="T182" s="120"/>
    </row>
    <row r="183" spans="1:20" s="119" customFormat="1" ht="32.1" customHeight="1">
      <c r="A183" s="564" t="s">
        <v>209</v>
      </c>
      <c r="B183" s="603" t="s">
        <v>878</v>
      </c>
      <c r="C183" s="677" t="s">
        <v>891</v>
      </c>
      <c r="D183" s="365">
        <v>61</v>
      </c>
      <c r="E183" s="47">
        <v>47.62</v>
      </c>
      <c r="F183" s="47"/>
      <c r="G183" s="390"/>
      <c r="H183" s="47">
        <v>76.900000000000006</v>
      </c>
      <c r="I183" s="47"/>
      <c r="J183" s="47">
        <v>0</v>
      </c>
      <c r="K183" s="47"/>
      <c r="L183" s="47"/>
      <c r="M183" s="47"/>
      <c r="N183" s="47"/>
      <c r="O183" s="47"/>
      <c r="P183" s="47"/>
      <c r="Q183" s="314">
        <f t="shared" si="10"/>
        <v>41.506666666666668</v>
      </c>
      <c r="R183" s="315" t="str">
        <f t="shared" si="9"/>
        <v>NO</v>
      </c>
      <c r="S183" s="316" t="str">
        <f t="shared" si="11"/>
        <v>Alto</v>
      </c>
      <c r="T183" s="120"/>
    </row>
    <row r="184" spans="1:20" s="119" customFormat="1" ht="32.1" customHeight="1">
      <c r="A184" s="564" t="s">
        <v>209</v>
      </c>
      <c r="B184" s="603" t="s">
        <v>723</v>
      </c>
      <c r="C184" s="677" t="s">
        <v>892</v>
      </c>
      <c r="D184" s="304">
        <v>56</v>
      </c>
      <c r="E184" s="47"/>
      <c r="F184" s="47"/>
      <c r="G184" s="47"/>
      <c r="H184" s="47"/>
      <c r="I184" s="47">
        <v>20.98</v>
      </c>
      <c r="J184" s="47"/>
      <c r="K184" s="47"/>
      <c r="L184" s="47"/>
      <c r="M184" s="47"/>
      <c r="N184" s="47"/>
      <c r="O184" s="47"/>
      <c r="P184" s="47"/>
      <c r="Q184" s="314">
        <f t="shared" si="10"/>
        <v>20.98</v>
      </c>
      <c r="R184" s="315" t="str">
        <f t="shared" si="9"/>
        <v>NO</v>
      </c>
      <c r="S184" s="316" t="str">
        <f t="shared" si="11"/>
        <v>Medio</v>
      </c>
      <c r="T184" s="120"/>
    </row>
    <row r="185" spans="1:20" s="119" customFormat="1" ht="32.1" customHeight="1">
      <c r="A185" s="564" t="s">
        <v>209</v>
      </c>
      <c r="B185" s="603" t="s">
        <v>721</v>
      </c>
      <c r="C185" s="677" t="s">
        <v>722</v>
      </c>
      <c r="D185" s="304">
        <v>172</v>
      </c>
      <c r="E185" s="47">
        <v>23.8</v>
      </c>
      <c r="F185" s="47"/>
      <c r="G185" s="47"/>
      <c r="H185" s="47">
        <v>10.5</v>
      </c>
      <c r="I185" s="47"/>
      <c r="J185" s="47">
        <v>10.5</v>
      </c>
      <c r="K185" s="47"/>
      <c r="L185" s="47"/>
      <c r="M185" s="47"/>
      <c r="N185" s="47"/>
      <c r="O185" s="47"/>
      <c r="P185" s="47"/>
      <c r="Q185" s="314">
        <f t="shared" si="10"/>
        <v>14.933333333333332</v>
      </c>
      <c r="R185" s="315" t="str">
        <f t="shared" si="9"/>
        <v>NO</v>
      </c>
      <c r="S185" s="316" t="str">
        <f t="shared" si="11"/>
        <v>Medio</v>
      </c>
      <c r="T185" s="120"/>
    </row>
    <row r="186" spans="1:20" s="119" customFormat="1" ht="32.1" customHeight="1">
      <c r="A186" s="564" t="s">
        <v>209</v>
      </c>
      <c r="B186" s="678" t="s">
        <v>728</v>
      </c>
      <c r="C186" s="679" t="s">
        <v>893</v>
      </c>
      <c r="D186" s="380">
        <v>101</v>
      </c>
      <c r="E186" s="47">
        <v>47.62</v>
      </c>
      <c r="F186" s="47"/>
      <c r="G186" s="47"/>
      <c r="H186" s="47">
        <v>41.96</v>
      </c>
      <c r="I186" s="47"/>
      <c r="J186" s="47">
        <v>31.5</v>
      </c>
      <c r="K186" s="47"/>
      <c r="L186" s="47"/>
      <c r="M186" s="47"/>
      <c r="N186" s="47"/>
      <c r="O186" s="47"/>
      <c r="P186" s="47"/>
      <c r="Q186" s="314">
        <f t="shared" si="10"/>
        <v>40.36</v>
      </c>
      <c r="R186" s="315" t="str">
        <f t="shared" si="9"/>
        <v>NO</v>
      </c>
      <c r="S186" s="316" t="str">
        <f t="shared" si="11"/>
        <v>Alto</v>
      </c>
      <c r="T186" s="120"/>
    </row>
    <row r="187" spans="1:20" s="119" customFormat="1" ht="32.1" customHeight="1">
      <c r="A187" s="564" t="s">
        <v>209</v>
      </c>
      <c r="B187" s="676" t="s">
        <v>879</v>
      </c>
      <c r="C187" s="677" t="s">
        <v>894</v>
      </c>
      <c r="D187" s="304">
        <v>61</v>
      </c>
      <c r="E187" s="47"/>
      <c r="F187" s="47"/>
      <c r="G187" s="47"/>
      <c r="H187" s="47">
        <v>76.92</v>
      </c>
      <c r="I187" s="47"/>
      <c r="J187" s="47"/>
      <c r="K187" s="47"/>
      <c r="L187" s="47"/>
      <c r="M187" s="47"/>
      <c r="N187" s="47"/>
      <c r="O187" s="47"/>
      <c r="P187" s="47"/>
      <c r="Q187" s="314">
        <f t="shared" si="10"/>
        <v>76.92</v>
      </c>
      <c r="R187" s="315" t="str">
        <f t="shared" si="9"/>
        <v>NO</v>
      </c>
      <c r="S187" s="316" t="str">
        <f t="shared" si="11"/>
        <v>Alto</v>
      </c>
      <c r="T187" s="120"/>
    </row>
    <row r="188" spans="1:20" s="119" customFormat="1" ht="32.1" customHeight="1">
      <c r="A188" s="564" t="s">
        <v>209</v>
      </c>
      <c r="B188" s="603" t="s">
        <v>729</v>
      </c>
      <c r="C188" s="677" t="s">
        <v>895</v>
      </c>
      <c r="D188" s="304">
        <v>117</v>
      </c>
      <c r="E188" s="385"/>
      <c r="F188" s="385"/>
      <c r="G188" s="385"/>
      <c r="H188" s="385">
        <v>97.9</v>
      </c>
      <c r="I188" s="385"/>
      <c r="J188" s="385">
        <v>76.92</v>
      </c>
      <c r="K188" s="385"/>
      <c r="L188" s="385"/>
      <c r="M188" s="385"/>
      <c r="N188" s="385"/>
      <c r="O188" s="385"/>
      <c r="P188" s="385"/>
      <c r="Q188" s="314">
        <f t="shared" si="10"/>
        <v>87.41</v>
      </c>
      <c r="R188" s="386" t="str">
        <f t="shared" si="9"/>
        <v>NO</v>
      </c>
      <c r="S188" s="316" t="str">
        <f t="shared" si="11"/>
        <v>Inviable Sanitariamente</v>
      </c>
      <c r="T188" s="120"/>
    </row>
    <row r="189" spans="1:20" s="119" customFormat="1" ht="32.1" customHeight="1">
      <c r="A189" s="564" t="s">
        <v>209</v>
      </c>
      <c r="B189" s="603" t="s">
        <v>724</v>
      </c>
      <c r="C189" s="677" t="s">
        <v>896</v>
      </c>
      <c r="D189" s="304">
        <v>47</v>
      </c>
      <c r="E189" s="387">
        <v>47.62</v>
      </c>
      <c r="F189" s="387"/>
      <c r="G189" s="387"/>
      <c r="H189" s="387">
        <v>41.96</v>
      </c>
      <c r="I189" s="387"/>
      <c r="J189" s="387">
        <v>20.98</v>
      </c>
      <c r="K189" s="387"/>
      <c r="L189" s="387"/>
      <c r="M189" s="387"/>
      <c r="N189" s="387"/>
      <c r="O189" s="387"/>
      <c r="P189" s="387"/>
      <c r="Q189" s="314">
        <f t="shared" si="10"/>
        <v>36.853333333333332</v>
      </c>
      <c r="R189" s="388" t="str">
        <f t="shared" si="9"/>
        <v>NO</v>
      </c>
      <c r="S189" s="316" t="str">
        <f t="shared" si="11"/>
        <v>Alto</v>
      </c>
      <c r="T189" s="120"/>
    </row>
    <row r="190" spans="1:20" s="119" customFormat="1" ht="32.1" customHeight="1">
      <c r="A190" s="564" t="s">
        <v>209</v>
      </c>
      <c r="B190" s="603" t="s">
        <v>880</v>
      </c>
      <c r="C190" s="677" t="s">
        <v>897</v>
      </c>
      <c r="D190" s="304">
        <v>37</v>
      </c>
      <c r="E190" s="385"/>
      <c r="F190" s="385"/>
      <c r="G190" s="385"/>
      <c r="H190" s="385"/>
      <c r="I190" s="385"/>
      <c r="J190" s="385"/>
      <c r="K190" s="385"/>
      <c r="L190" s="385"/>
      <c r="M190" s="385"/>
      <c r="N190" s="385"/>
      <c r="O190" s="385"/>
      <c r="P190" s="385"/>
      <c r="Q190" s="314"/>
      <c r="R190" s="315"/>
      <c r="S190" s="316"/>
      <c r="T190" s="120"/>
    </row>
    <row r="191" spans="1:20" s="119" customFormat="1" ht="32.1" customHeight="1">
      <c r="A191" s="564" t="s">
        <v>209</v>
      </c>
      <c r="B191" s="603" t="s">
        <v>726</v>
      </c>
      <c r="C191" s="677" t="s">
        <v>898</v>
      </c>
      <c r="D191" s="304">
        <v>35</v>
      </c>
      <c r="E191" s="47">
        <v>47.62</v>
      </c>
      <c r="F191" s="47"/>
      <c r="G191" s="47"/>
      <c r="H191" s="47">
        <v>76.92</v>
      </c>
      <c r="I191" s="47"/>
      <c r="J191" s="47">
        <v>76.92</v>
      </c>
      <c r="K191" s="47"/>
      <c r="L191" s="47"/>
      <c r="M191" s="47"/>
      <c r="N191" s="47"/>
      <c r="O191" s="47"/>
      <c r="P191" s="47"/>
      <c r="Q191" s="314">
        <f t="shared" si="10"/>
        <v>67.153333333333322</v>
      </c>
      <c r="R191" s="315" t="str">
        <f t="shared" si="9"/>
        <v>NO</v>
      </c>
      <c r="S191" s="316" t="str">
        <f t="shared" si="11"/>
        <v>Alto</v>
      </c>
      <c r="T191" s="120"/>
    </row>
    <row r="192" spans="1:20" s="119" customFormat="1" ht="32.1" customHeight="1">
      <c r="A192" s="564" t="s">
        <v>209</v>
      </c>
      <c r="B192" s="676" t="s">
        <v>881</v>
      </c>
      <c r="C192" s="677" t="s">
        <v>899</v>
      </c>
      <c r="D192" s="304">
        <v>115</v>
      </c>
      <c r="E192" s="47"/>
      <c r="F192" s="47"/>
      <c r="G192" s="47"/>
      <c r="H192" s="47"/>
      <c r="I192" s="47"/>
      <c r="J192" s="47">
        <v>21</v>
      </c>
      <c r="K192" s="47"/>
      <c r="L192" s="47"/>
      <c r="M192" s="47"/>
      <c r="N192" s="47"/>
      <c r="O192" s="47"/>
      <c r="P192" s="47"/>
      <c r="Q192" s="314">
        <f t="shared" si="10"/>
        <v>21</v>
      </c>
      <c r="R192" s="315" t="str">
        <f t="shared" si="9"/>
        <v>NO</v>
      </c>
      <c r="S192" s="316" t="str">
        <f t="shared" si="11"/>
        <v>Medio</v>
      </c>
      <c r="T192" s="120"/>
    </row>
    <row r="193" spans="1:20" s="119" customFormat="1" ht="32.1" customHeight="1">
      <c r="A193" s="564" t="s">
        <v>209</v>
      </c>
      <c r="B193" s="676" t="s">
        <v>882</v>
      </c>
      <c r="C193" s="677" t="s">
        <v>900</v>
      </c>
      <c r="D193" s="304">
        <v>127</v>
      </c>
      <c r="E193" s="47">
        <v>0</v>
      </c>
      <c r="F193" s="47"/>
      <c r="G193" s="47"/>
      <c r="H193" s="47">
        <v>20.98</v>
      </c>
      <c r="I193" s="47"/>
      <c r="J193" s="47">
        <v>20.98</v>
      </c>
      <c r="K193" s="47"/>
      <c r="L193" s="47"/>
      <c r="M193" s="47"/>
      <c r="N193" s="47"/>
      <c r="O193" s="47"/>
      <c r="P193" s="47"/>
      <c r="Q193" s="314">
        <f t="shared" si="10"/>
        <v>13.986666666666666</v>
      </c>
      <c r="R193" s="315" t="str">
        <f t="shared" si="9"/>
        <v>NO</v>
      </c>
      <c r="S193" s="316" t="str">
        <f t="shared" si="11"/>
        <v>Bajo</v>
      </c>
      <c r="T193" s="120"/>
    </row>
    <row r="194" spans="1:20" s="119" customFormat="1" ht="32.1" customHeight="1">
      <c r="A194" s="564" t="s">
        <v>209</v>
      </c>
      <c r="B194" s="676" t="s">
        <v>883</v>
      </c>
      <c r="C194" s="677" t="s">
        <v>901</v>
      </c>
      <c r="D194" s="304">
        <v>43</v>
      </c>
      <c r="E194" s="47"/>
      <c r="F194" s="47"/>
      <c r="G194" s="47"/>
      <c r="H194" s="47"/>
      <c r="I194" s="47"/>
      <c r="J194" s="47">
        <v>76.900000000000006</v>
      </c>
      <c r="K194" s="47"/>
      <c r="L194" s="47"/>
      <c r="M194" s="47"/>
      <c r="N194" s="47"/>
      <c r="O194" s="47"/>
      <c r="P194" s="47"/>
      <c r="Q194" s="314">
        <f t="shared" si="10"/>
        <v>76.900000000000006</v>
      </c>
      <c r="R194" s="315" t="str">
        <f t="shared" si="9"/>
        <v>NO</v>
      </c>
      <c r="S194" s="316" t="str">
        <f t="shared" si="11"/>
        <v>Alto</v>
      </c>
      <c r="T194" s="120"/>
    </row>
    <row r="195" spans="1:20" s="119" customFormat="1" ht="32.1" customHeight="1">
      <c r="A195" s="564" t="s">
        <v>209</v>
      </c>
      <c r="B195" s="676" t="s">
        <v>884</v>
      </c>
      <c r="C195" s="677" t="s">
        <v>902</v>
      </c>
      <c r="D195" s="304">
        <v>129</v>
      </c>
      <c r="E195" s="47">
        <v>0</v>
      </c>
      <c r="F195" s="47"/>
      <c r="G195" s="47"/>
      <c r="H195" s="47">
        <v>10.5</v>
      </c>
      <c r="I195" s="47"/>
      <c r="J195" s="47">
        <v>20.9</v>
      </c>
      <c r="K195" s="47"/>
      <c r="L195" s="47"/>
      <c r="M195" s="47"/>
      <c r="N195" s="47"/>
      <c r="O195" s="47"/>
      <c r="P195" s="47"/>
      <c r="Q195" s="314">
        <f t="shared" si="10"/>
        <v>10.466666666666667</v>
      </c>
      <c r="R195" s="315" t="str">
        <f t="shared" si="9"/>
        <v>NO</v>
      </c>
      <c r="S195" s="316" t="str">
        <f t="shared" si="11"/>
        <v>Bajo</v>
      </c>
      <c r="T195" s="120"/>
    </row>
    <row r="196" spans="1:20" s="119" customFormat="1" ht="32.1" customHeight="1">
      <c r="A196" s="564" t="s">
        <v>209</v>
      </c>
      <c r="B196" s="676" t="s">
        <v>885</v>
      </c>
      <c r="C196" s="677" t="s">
        <v>903</v>
      </c>
      <c r="D196" s="304">
        <v>72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314"/>
      <c r="R196" s="315"/>
      <c r="S196" s="316"/>
      <c r="T196" s="120"/>
    </row>
    <row r="197" spans="1:20" s="119" customFormat="1" ht="32.1" customHeight="1">
      <c r="A197" s="564" t="s">
        <v>209</v>
      </c>
      <c r="B197" s="603" t="s">
        <v>727</v>
      </c>
      <c r="C197" s="677" t="s">
        <v>904</v>
      </c>
      <c r="D197" s="304">
        <v>135</v>
      </c>
      <c r="E197" s="47"/>
      <c r="F197" s="47"/>
      <c r="G197" s="47"/>
      <c r="H197" s="47">
        <v>97.9</v>
      </c>
      <c r="I197" s="47"/>
      <c r="J197" s="47">
        <v>97.9</v>
      </c>
      <c r="K197" s="47"/>
      <c r="L197" s="47"/>
      <c r="M197" s="47"/>
      <c r="N197" s="47"/>
      <c r="O197" s="47"/>
      <c r="P197" s="47"/>
      <c r="Q197" s="314">
        <f t="shared" si="10"/>
        <v>97.9</v>
      </c>
      <c r="R197" s="315" t="str">
        <f t="shared" si="9"/>
        <v>NO</v>
      </c>
      <c r="S197" s="316" t="str">
        <f t="shared" si="11"/>
        <v>Inviable Sanitariamente</v>
      </c>
      <c r="T197" s="120"/>
    </row>
    <row r="198" spans="1:20" s="119" customFormat="1" ht="32.1" customHeight="1">
      <c r="A198" s="564" t="s">
        <v>209</v>
      </c>
      <c r="B198" s="676" t="s">
        <v>886</v>
      </c>
      <c r="C198" s="677" t="s">
        <v>905</v>
      </c>
      <c r="D198" s="304">
        <v>187</v>
      </c>
      <c r="E198" s="47"/>
      <c r="F198" s="47"/>
      <c r="G198" s="47"/>
      <c r="H198" s="47">
        <v>97.9</v>
      </c>
      <c r="I198" s="47"/>
      <c r="J198" s="47">
        <v>76.92</v>
      </c>
      <c r="K198" s="47"/>
      <c r="L198" s="47"/>
      <c r="M198" s="47"/>
      <c r="N198" s="47"/>
      <c r="O198" s="47"/>
      <c r="P198" s="47"/>
      <c r="Q198" s="314">
        <f t="shared" si="10"/>
        <v>87.41</v>
      </c>
      <c r="R198" s="315" t="str">
        <f t="shared" si="9"/>
        <v>NO</v>
      </c>
      <c r="S198" s="316" t="str">
        <f t="shared" si="11"/>
        <v>Inviable Sanitariamente</v>
      </c>
      <c r="T198" s="120"/>
    </row>
    <row r="199" spans="1:20" s="119" customFormat="1" ht="32.1" customHeight="1">
      <c r="A199" s="564" t="s">
        <v>209</v>
      </c>
      <c r="B199" s="676" t="s">
        <v>887</v>
      </c>
      <c r="C199" s="677" t="s">
        <v>906</v>
      </c>
      <c r="D199" s="304">
        <v>140</v>
      </c>
      <c r="E199" s="47">
        <v>0</v>
      </c>
      <c r="F199" s="47"/>
      <c r="G199" s="47"/>
      <c r="H199" s="47">
        <v>0</v>
      </c>
      <c r="I199" s="47"/>
      <c r="J199" s="47">
        <v>76.92</v>
      </c>
      <c r="K199" s="47"/>
      <c r="L199" s="47"/>
      <c r="M199" s="47"/>
      <c r="N199" s="47"/>
      <c r="O199" s="47"/>
      <c r="P199" s="47"/>
      <c r="Q199" s="314">
        <f t="shared" si="10"/>
        <v>25.64</v>
      </c>
      <c r="R199" s="315" t="str">
        <f t="shared" si="9"/>
        <v>NO</v>
      </c>
      <c r="S199" s="316" t="str">
        <f t="shared" si="11"/>
        <v>Medio</v>
      </c>
      <c r="T199" s="120"/>
    </row>
    <row r="200" spans="1:20" s="119" customFormat="1" ht="32.1" customHeight="1">
      <c r="A200" s="564" t="s">
        <v>209</v>
      </c>
      <c r="B200" s="676" t="s">
        <v>888</v>
      </c>
      <c r="C200" s="677" t="s">
        <v>907</v>
      </c>
      <c r="D200" s="304">
        <v>56</v>
      </c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  <c r="P200" s="385"/>
      <c r="Q200" s="314" t="e">
        <f t="shared" si="10"/>
        <v>#DIV/0!</v>
      </c>
      <c r="R200" s="315" t="e">
        <f t="shared" si="9"/>
        <v>#DIV/0!</v>
      </c>
      <c r="S200" s="316" t="e">
        <f t="shared" ref="S200:S270" si="12">IF(Q200&lt;5,"Sin Riesgo",IF(Q200 &lt;=14,"Bajo",IF(Q200&lt;=35,"Medio",IF(Q200&lt;=80,"Alto","Inviable Sanitariamente"))))</f>
        <v>#DIV/0!</v>
      </c>
      <c r="T200" s="120"/>
    </row>
    <row r="201" spans="1:20" s="119" customFormat="1" ht="32.1" customHeight="1">
      <c r="A201" s="564" t="s">
        <v>209</v>
      </c>
      <c r="B201" s="603" t="s">
        <v>889</v>
      </c>
      <c r="C201" s="677" t="s">
        <v>908</v>
      </c>
      <c r="D201" s="304">
        <v>119</v>
      </c>
      <c r="E201" s="47"/>
      <c r="F201" s="47"/>
      <c r="G201" s="47"/>
      <c r="H201" s="47">
        <v>76.900000000000006</v>
      </c>
      <c r="I201" s="47"/>
      <c r="J201" s="47"/>
      <c r="K201" s="47"/>
      <c r="L201" s="47"/>
      <c r="M201" s="47"/>
      <c r="N201" s="47"/>
      <c r="O201" s="47"/>
      <c r="P201" s="47"/>
      <c r="Q201" s="314">
        <f t="shared" si="10"/>
        <v>76.900000000000006</v>
      </c>
      <c r="R201" s="315" t="str">
        <f t="shared" si="9"/>
        <v>NO</v>
      </c>
      <c r="S201" s="316" t="str">
        <f t="shared" si="12"/>
        <v>Alto</v>
      </c>
      <c r="T201" s="120"/>
    </row>
    <row r="202" spans="1:20" s="119" customFormat="1" ht="32.1" customHeight="1">
      <c r="A202" s="564" t="s">
        <v>209</v>
      </c>
      <c r="B202" s="674" t="s">
        <v>730</v>
      </c>
      <c r="C202" s="674" t="s">
        <v>731</v>
      </c>
      <c r="D202" s="304">
        <v>37</v>
      </c>
      <c r="E202" s="47"/>
      <c r="F202" s="47"/>
      <c r="G202" s="47">
        <v>0</v>
      </c>
      <c r="H202" s="47"/>
      <c r="I202" s="47">
        <v>0</v>
      </c>
      <c r="J202" s="47"/>
      <c r="K202" s="47"/>
      <c r="L202" s="47"/>
      <c r="M202" s="47">
        <v>0</v>
      </c>
      <c r="N202" s="47"/>
      <c r="O202" s="47"/>
      <c r="P202" s="47"/>
      <c r="Q202" s="314">
        <f>AVERAGE(E202:P202)</f>
        <v>0</v>
      </c>
      <c r="R202" s="389" t="str">
        <f>IF(Q202&lt;5,"SI","NO")</f>
        <v>SI</v>
      </c>
      <c r="S202" s="316" t="str">
        <f>IF(Q202&lt;5,"Sin Riesgo",IF(Q202 &lt;=14,"Bajo",IF(Q202&lt;=35,"Medio",IF(Q202&lt;=80,"Alto","Inviable Sanitariamente"))))</f>
        <v>Sin Riesgo</v>
      </c>
      <c r="T202" s="120"/>
    </row>
    <row r="203" spans="1:20" s="119" customFormat="1" ht="32.1" customHeight="1">
      <c r="A203" s="564" t="s">
        <v>209</v>
      </c>
      <c r="B203" s="674" t="s">
        <v>4038</v>
      </c>
      <c r="C203" s="674" t="s">
        <v>4039</v>
      </c>
      <c r="D203" s="304">
        <v>72</v>
      </c>
      <c r="E203" s="47">
        <v>0</v>
      </c>
      <c r="F203" s="47"/>
      <c r="G203" s="47"/>
      <c r="H203" s="47">
        <v>0</v>
      </c>
      <c r="I203" s="47"/>
      <c r="J203" s="47">
        <v>0</v>
      </c>
      <c r="K203" s="47"/>
      <c r="L203" s="47"/>
      <c r="M203" s="47"/>
      <c r="N203" s="47"/>
      <c r="O203" s="47"/>
      <c r="P203" s="47"/>
      <c r="Q203" s="314">
        <f t="shared" si="10"/>
        <v>0</v>
      </c>
      <c r="R203" s="389" t="str">
        <f t="shared" si="9"/>
        <v>SI</v>
      </c>
      <c r="S203" s="316" t="str">
        <f t="shared" si="12"/>
        <v>Sin Riesgo</v>
      </c>
      <c r="T203" s="120"/>
    </row>
    <row r="204" spans="1:20" s="119" customFormat="1" ht="32.1" customHeight="1">
      <c r="A204" s="564" t="s">
        <v>210</v>
      </c>
      <c r="B204" s="601" t="s">
        <v>934</v>
      </c>
      <c r="C204" s="674" t="s">
        <v>935</v>
      </c>
      <c r="D204" s="304">
        <v>180</v>
      </c>
      <c r="E204" s="47"/>
      <c r="F204" s="47"/>
      <c r="G204" s="47">
        <v>97.3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314">
        <f t="shared" si="10"/>
        <v>97.3</v>
      </c>
      <c r="R204" s="315" t="str">
        <f t="shared" si="9"/>
        <v>NO</v>
      </c>
      <c r="S204" s="316" t="str">
        <f t="shared" si="12"/>
        <v>Inviable Sanitariamente</v>
      </c>
      <c r="T204" s="120"/>
    </row>
    <row r="205" spans="1:20" s="119" customFormat="1" ht="32.1" customHeight="1">
      <c r="A205" s="564" t="s">
        <v>210</v>
      </c>
      <c r="B205" s="601" t="s">
        <v>725</v>
      </c>
      <c r="C205" s="674" t="s">
        <v>936</v>
      </c>
      <c r="D205" s="304">
        <v>139</v>
      </c>
      <c r="E205" s="47"/>
      <c r="F205" s="47"/>
      <c r="G205" s="47">
        <v>97.4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314">
        <f t="shared" si="10"/>
        <v>97.4</v>
      </c>
      <c r="R205" s="315" t="str">
        <f t="shared" si="9"/>
        <v>NO</v>
      </c>
      <c r="S205" s="316" t="str">
        <f t="shared" si="12"/>
        <v>Inviable Sanitariamente</v>
      </c>
      <c r="T205" s="120"/>
    </row>
    <row r="206" spans="1:20" s="119" customFormat="1" ht="32.1" customHeight="1">
      <c r="A206" s="564" t="s">
        <v>210</v>
      </c>
      <c r="B206" s="601" t="s">
        <v>937</v>
      </c>
      <c r="C206" s="674" t="s">
        <v>938</v>
      </c>
      <c r="D206" s="304">
        <v>82</v>
      </c>
      <c r="E206" s="47"/>
      <c r="F206" s="47"/>
      <c r="G206" s="47">
        <v>70.8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314">
        <f t="shared" si="10"/>
        <v>70.8</v>
      </c>
      <c r="R206" s="315" t="str">
        <f t="shared" si="9"/>
        <v>NO</v>
      </c>
      <c r="S206" s="316" t="str">
        <f t="shared" si="12"/>
        <v>Alto</v>
      </c>
      <c r="T206" s="120"/>
    </row>
    <row r="207" spans="1:20" s="119" customFormat="1" ht="32.1" customHeight="1">
      <c r="A207" s="564" t="s">
        <v>210</v>
      </c>
      <c r="B207" s="601" t="s">
        <v>939</v>
      </c>
      <c r="C207" s="674" t="s">
        <v>940</v>
      </c>
      <c r="D207" s="304">
        <v>90</v>
      </c>
      <c r="E207" s="47"/>
      <c r="F207" s="47"/>
      <c r="G207" s="47">
        <v>0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314">
        <f t="shared" si="10"/>
        <v>0</v>
      </c>
      <c r="R207" s="315" t="str">
        <f t="shared" si="9"/>
        <v>SI</v>
      </c>
      <c r="S207" s="316" t="str">
        <f t="shared" si="12"/>
        <v>Sin Riesgo</v>
      </c>
      <c r="T207" s="120"/>
    </row>
    <row r="208" spans="1:20" s="119" customFormat="1" ht="32.1" customHeight="1">
      <c r="A208" s="564" t="s">
        <v>210</v>
      </c>
      <c r="B208" s="601" t="s">
        <v>941</v>
      </c>
      <c r="C208" s="674" t="s">
        <v>942</v>
      </c>
      <c r="D208" s="304">
        <v>480</v>
      </c>
      <c r="E208" s="47"/>
      <c r="F208" s="47"/>
      <c r="G208" s="47">
        <v>53.1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314">
        <f t="shared" si="10"/>
        <v>53.1</v>
      </c>
      <c r="R208" s="315" t="str">
        <f t="shared" si="9"/>
        <v>NO</v>
      </c>
      <c r="S208" s="316" t="str">
        <f t="shared" si="12"/>
        <v>Alto</v>
      </c>
      <c r="T208" s="120"/>
    </row>
    <row r="209" spans="1:20" s="119" customFormat="1" ht="32.1" customHeight="1">
      <c r="A209" s="564" t="s">
        <v>210</v>
      </c>
      <c r="B209" s="601" t="s">
        <v>943</v>
      </c>
      <c r="C209" s="674" t="s">
        <v>944</v>
      </c>
      <c r="D209" s="304">
        <v>80</v>
      </c>
      <c r="E209" s="47"/>
      <c r="F209" s="47"/>
      <c r="G209" s="47">
        <v>0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314">
        <f t="shared" si="10"/>
        <v>0</v>
      </c>
      <c r="R209" s="315" t="str">
        <f t="shared" si="9"/>
        <v>SI</v>
      </c>
      <c r="S209" s="316" t="str">
        <f t="shared" si="12"/>
        <v>Sin Riesgo</v>
      </c>
      <c r="T209" s="120"/>
    </row>
    <row r="210" spans="1:20" s="119" customFormat="1" ht="32.1" customHeight="1">
      <c r="A210" s="564" t="s">
        <v>210</v>
      </c>
      <c r="B210" s="601" t="s">
        <v>432</v>
      </c>
      <c r="C210" s="674" t="s">
        <v>945</v>
      </c>
      <c r="D210" s="304">
        <v>80</v>
      </c>
      <c r="E210" s="47"/>
      <c r="F210" s="47">
        <v>29.2</v>
      </c>
      <c r="G210" s="47"/>
      <c r="H210" s="47">
        <v>2.65</v>
      </c>
      <c r="I210" s="47"/>
      <c r="J210" s="47">
        <v>2.65</v>
      </c>
      <c r="K210" s="47"/>
      <c r="L210" s="47">
        <v>2.65</v>
      </c>
      <c r="M210" s="47"/>
      <c r="N210" s="47">
        <v>0</v>
      </c>
      <c r="O210" s="47"/>
      <c r="P210" s="47"/>
      <c r="Q210" s="314">
        <f t="shared" si="10"/>
        <v>7.43</v>
      </c>
      <c r="R210" s="315" t="str">
        <f t="shared" si="9"/>
        <v>NO</v>
      </c>
      <c r="S210" s="316" t="str">
        <f t="shared" si="12"/>
        <v>Bajo</v>
      </c>
      <c r="T210" s="120"/>
    </row>
    <row r="211" spans="1:20" s="119" customFormat="1" ht="32.1" customHeight="1">
      <c r="A211" s="564" t="s">
        <v>210</v>
      </c>
      <c r="B211" s="601" t="s">
        <v>583</v>
      </c>
      <c r="C211" s="674" t="s">
        <v>946</v>
      </c>
      <c r="D211" s="304">
        <v>42</v>
      </c>
      <c r="E211" s="47"/>
      <c r="F211" s="47">
        <v>100</v>
      </c>
      <c r="G211" s="47"/>
      <c r="H211" s="47">
        <v>16.5</v>
      </c>
      <c r="I211" s="47"/>
      <c r="J211" s="47">
        <v>100</v>
      </c>
      <c r="K211" s="47"/>
      <c r="L211" s="47">
        <v>0</v>
      </c>
      <c r="M211" s="47"/>
      <c r="N211" s="47">
        <v>97.35</v>
      </c>
      <c r="O211" s="47"/>
      <c r="P211" s="47"/>
      <c r="Q211" s="314">
        <f t="shared" si="10"/>
        <v>62.77</v>
      </c>
      <c r="R211" s="315" t="str">
        <f t="shared" si="9"/>
        <v>NO</v>
      </c>
      <c r="S211" s="316" t="str">
        <f t="shared" si="12"/>
        <v>Alto</v>
      </c>
      <c r="T211" s="120"/>
    </row>
    <row r="212" spans="1:20" s="119" customFormat="1" ht="32.1" customHeight="1">
      <c r="A212" s="564" t="s">
        <v>210</v>
      </c>
      <c r="B212" s="601" t="s">
        <v>947</v>
      </c>
      <c r="C212" s="674" t="s">
        <v>948</v>
      </c>
      <c r="D212" s="304">
        <v>164</v>
      </c>
      <c r="E212" s="47"/>
      <c r="F212" s="47"/>
      <c r="G212" s="47">
        <v>26.6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314">
        <f t="shared" si="10"/>
        <v>26.6</v>
      </c>
      <c r="R212" s="315" t="str">
        <f t="shared" si="9"/>
        <v>NO</v>
      </c>
      <c r="S212" s="316" t="str">
        <f t="shared" si="12"/>
        <v>Medio</v>
      </c>
      <c r="T212" s="120"/>
    </row>
    <row r="213" spans="1:20" s="119" customFormat="1" ht="32.1" customHeight="1">
      <c r="A213" s="564" t="s">
        <v>210</v>
      </c>
      <c r="B213" s="601" t="s">
        <v>949</v>
      </c>
      <c r="C213" s="674" t="s">
        <v>950</v>
      </c>
      <c r="D213" s="304">
        <v>150</v>
      </c>
      <c r="E213" s="47"/>
      <c r="F213" s="47">
        <v>29.2</v>
      </c>
      <c r="G213" s="47"/>
      <c r="H213" s="47">
        <v>29.2</v>
      </c>
      <c r="I213" s="47"/>
      <c r="J213" s="47">
        <v>29.2</v>
      </c>
      <c r="K213" s="47"/>
      <c r="L213" s="47">
        <v>2.65</v>
      </c>
      <c r="M213" s="47"/>
      <c r="N213" s="47">
        <v>0</v>
      </c>
      <c r="O213" s="47"/>
      <c r="P213" s="47"/>
      <c r="Q213" s="314">
        <f t="shared" si="10"/>
        <v>18.05</v>
      </c>
      <c r="R213" s="315" t="str">
        <f t="shared" si="9"/>
        <v>NO</v>
      </c>
      <c r="S213" s="316" t="str">
        <f t="shared" si="12"/>
        <v>Medio</v>
      </c>
      <c r="T213" s="120"/>
    </row>
    <row r="214" spans="1:20" s="119" customFormat="1" ht="32.1" customHeight="1">
      <c r="A214" s="564" t="s">
        <v>210</v>
      </c>
      <c r="B214" s="601" t="s">
        <v>788</v>
      </c>
      <c r="C214" s="674" t="s">
        <v>951</v>
      </c>
      <c r="D214" s="304">
        <v>40</v>
      </c>
      <c r="E214" s="47"/>
      <c r="F214" s="47">
        <v>26.54</v>
      </c>
      <c r="G214" s="47"/>
      <c r="H214" s="47">
        <v>29.2</v>
      </c>
      <c r="I214" s="47"/>
      <c r="J214" s="47">
        <v>29.2</v>
      </c>
      <c r="K214" s="47"/>
      <c r="L214" s="47">
        <v>55.75</v>
      </c>
      <c r="M214" s="47"/>
      <c r="N214" s="47">
        <v>0</v>
      </c>
      <c r="O214" s="47"/>
      <c r="P214" s="47"/>
      <c r="Q214" s="314">
        <f t="shared" si="10"/>
        <v>28.137999999999998</v>
      </c>
      <c r="R214" s="315" t="str">
        <f t="shared" si="9"/>
        <v>NO</v>
      </c>
      <c r="S214" s="316" t="str">
        <f t="shared" si="12"/>
        <v>Medio</v>
      </c>
      <c r="T214" s="120"/>
    </row>
    <row r="215" spans="1:20" s="119" customFormat="1" ht="32.1" customHeight="1">
      <c r="A215" s="564" t="s">
        <v>210</v>
      </c>
      <c r="B215" s="601" t="s">
        <v>952</v>
      </c>
      <c r="C215" s="674" t="s">
        <v>953</v>
      </c>
      <c r="D215" s="304">
        <v>160</v>
      </c>
      <c r="E215" s="47"/>
      <c r="F215" s="47"/>
      <c r="G215" s="47">
        <v>26.6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314">
        <f t="shared" ref="Q215:Q253" si="13">AVERAGE(E215:P215)</f>
        <v>26.6</v>
      </c>
      <c r="R215" s="315" t="str">
        <f t="shared" ref="R215:R253" si="14">IF(Q215&lt;5,"SI","NO")</f>
        <v>NO</v>
      </c>
      <c r="S215" s="316" t="str">
        <f t="shared" si="12"/>
        <v>Medio</v>
      </c>
      <c r="T215" s="120"/>
    </row>
    <row r="216" spans="1:20" s="119" customFormat="1" ht="32.1" customHeight="1">
      <c r="A216" s="564" t="s">
        <v>210</v>
      </c>
      <c r="B216" s="601" t="s">
        <v>954</v>
      </c>
      <c r="C216" s="674" t="s">
        <v>955</v>
      </c>
      <c r="D216" s="304">
        <v>560</v>
      </c>
      <c r="E216" s="47"/>
      <c r="F216" s="47"/>
      <c r="G216" s="47"/>
      <c r="H216" s="47"/>
      <c r="I216" s="47"/>
      <c r="J216" s="47"/>
      <c r="K216" s="47"/>
      <c r="L216" s="47"/>
      <c r="M216" s="47"/>
      <c r="N216" s="47">
        <v>100</v>
      </c>
      <c r="O216" s="47"/>
      <c r="P216" s="47"/>
      <c r="Q216" s="314">
        <f t="shared" si="13"/>
        <v>100</v>
      </c>
      <c r="R216" s="315" t="str">
        <f t="shared" si="14"/>
        <v>NO</v>
      </c>
      <c r="S216" s="316" t="str">
        <f t="shared" si="12"/>
        <v>Inviable Sanitariamente</v>
      </c>
      <c r="T216" s="120"/>
    </row>
    <row r="217" spans="1:20" s="119" customFormat="1" ht="32.1" customHeight="1">
      <c r="A217" s="564" t="s">
        <v>210</v>
      </c>
      <c r="B217" s="601" t="s">
        <v>956</v>
      </c>
      <c r="C217" s="674" t="s">
        <v>957</v>
      </c>
      <c r="D217" s="304">
        <v>134</v>
      </c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314"/>
      <c r="R217" s="315"/>
      <c r="S217" s="316"/>
      <c r="T217" s="120"/>
    </row>
    <row r="218" spans="1:20" s="119" customFormat="1" ht="32.1" customHeight="1">
      <c r="A218" s="564" t="s">
        <v>210</v>
      </c>
      <c r="B218" s="601" t="s">
        <v>958</v>
      </c>
      <c r="C218" s="674" t="s">
        <v>959</v>
      </c>
      <c r="D218" s="304">
        <v>67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314"/>
      <c r="R218" s="315"/>
      <c r="S218" s="316"/>
      <c r="T218" s="120"/>
    </row>
    <row r="219" spans="1:20" s="121" customFormat="1" ht="32.1" customHeight="1">
      <c r="A219" s="564" t="s">
        <v>210</v>
      </c>
      <c r="B219" s="601" t="s">
        <v>5</v>
      </c>
      <c r="C219" s="674" t="s">
        <v>960</v>
      </c>
      <c r="D219" s="304">
        <v>15</v>
      </c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314"/>
      <c r="R219" s="315"/>
      <c r="S219" s="316"/>
      <c r="T219" s="105"/>
    </row>
    <row r="220" spans="1:20" s="119" customFormat="1" ht="32.1" customHeight="1">
      <c r="A220" s="564" t="s">
        <v>210</v>
      </c>
      <c r="B220" s="601" t="s">
        <v>961</v>
      </c>
      <c r="C220" s="674" t="s">
        <v>962</v>
      </c>
      <c r="D220" s="304">
        <v>15</v>
      </c>
      <c r="E220" s="47"/>
      <c r="F220" s="47"/>
      <c r="G220" s="390"/>
      <c r="H220" s="47"/>
      <c r="I220" s="47"/>
      <c r="J220" s="47"/>
      <c r="K220" s="47"/>
      <c r="L220" s="47"/>
      <c r="M220" s="47"/>
      <c r="N220" s="47"/>
      <c r="O220" s="47"/>
      <c r="P220" s="47"/>
      <c r="Q220" s="314"/>
      <c r="R220" s="315"/>
      <c r="S220" s="316"/>
      <c r="T220" s="120"/>
    </row>
    <row r="221" spans="1:20" s="119" customFormat="1" ht="32.1" customHeight="1">
      <c r="A221" s="564" t="s">
        <v>210</v>
      </c>
      <c r="B221" s="601" t="s">
        <v>695</v>
      </c>
      <c r="C221" s="674" t="s">
        <v>963</v>
      </c>
      <c r="D221" s="304">
        <v>39</v>
      </c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314"/>
      <c r="R221" s="315"/>
      <c r="S221" s="316"/>
      <c r="T221" s="120"/>
    </row>
    <row r="222" spans="1:20" s="119" customFormat="1" ht="32.1" customHeight="1">
      <c r="A222" s="564" t="s">
        <v>210</v>
      </c>
      <c r="B222" s="601" t="s">
        <v>964</v>
      </c>
      <c r="C222" s="674" t="s">
        <v>965</v>
      </c>
      <c r="D222" s="304">
        <v>43</v>
      </c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314"/>
      <c r="R222" s="315"/>
      <c r="S222" s="316"/>
      <c r="T222" s="120"/>
    </row>
    <row r="223" spans="1:20" s="119" customFormat="1" ht="32.1" customHeight="1">
      <c r="A223" s="564" t="s">
        <v>210</v>
      </c>
      <c r="B223" s="601" t="s">
        <v>966</v>
      </c>
      <c r="C223" s="674" t="s">
        <v>967</v>
      </c>
      <c r="D223" s="304">
        <v>75</v>
      </c>
      <c r="E223" s="47"/>
      <c r="F223" s="47"/>
      <c r="G223" s="47">
        <v>100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314">
        <f t="shared" si="13"/>
        <v>100</v>
      </c>
      <c r="R223" s="315" t="str">
        <f t="shared" si="14"/>
        <v>NO</v>
      </c>
      <c r="S223" s="316" t="str">
        <f t="shared" si="12"/>
        <v>Inviable Sanitariamente</v>
      </c>
      <c r="T223" s="120"/>
    </row>
    <row r="224" spans="1:20" s="119" customFormat="1" ht="32.1" customHeight="1">
      <c r="A224" s="564" t="s">
        <v>210</v>
      </c>
      <c r="B224" s="601" t="s">
        <v>968</v>
      </c>
      <c r="C224" s="674" t="s">
        <v>969</v>
      </c>
      <c r="D224" s="304">
        <v>79</v>
      </c>
      <c r="E224" s="47"/>
      <c r="F224" s="47"/>
      <c r="G224" s="47">
        <v>26.6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314">
        <f t="shared" si="13"/>
        <v>26.6</v>
      </c>
      <c r="R224" s="315" t="str">
        <f t="shared" si="14"/>
        <v>NO</v>
      </c>
      <c r="S224" s="316" t="str">
        <f t="shared" si="12"/>
        <v>Medio</v>
      </c>
      <c r="T224" s="120"/>
    </row>
    <row r="225" spans="1:20" s="119" customFormat="1" ht="32.1" customHeight="1">
      <c r="A225" s="564" t="s">
        <v>210</v>
      </c>
      <c r="B225" s="601" t="s">
        <v>970</v>
      </c>
      <c r="C225" s="674" t="s">
        <v>971</v>
      </c>
      <c r="D225" s="304">
        <v>100</v>
      </c>
      <c r="E225" s="47"/>
      <c r="F225" s="47"/>
      <c r="G225" s="47">
        <v>26.6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314">
        <f t="shared" si="13"/>
        <v>26.6</v>
      </c>
      <c r="R225" s="315" t="str">
        <f t="shared" si="14"/>
        <v>NO</v>
      </c>
      <c r="S225" s="316" t="str">
        <f t="shared" si="12"/>
        <v>Medio</v>
      </c>
      <c r="T225" s="120"/>
    </row>
    <row r="226" spans="1:20" s="119" customFormat="1" ht="32.1" customHeight="1">
      <c r="A226" s="564" t="s">
        <v>210</v>
      </c>
      <c r="B226" s="601" t="s">
        <v>972</v>
      </c>
      <c r="C226" s="674" t="s">
        <v>973</v>
      </c>
      <c r="D226" s="304">
        <v>13</v>
      </c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314"/>
      <c r="R226" s="315"/>
      <c r="S226" s="316"/>
      <c r="T226" s="120"/>
    </row>
    <row r="227" spans="1:20" s="119" customFormat="1" ht="32.1" customHeight="1">
      <c r="A227" s="564" t="s">
        <v>210</v>
      </c>
      <c r="B227" s="601" t="s">
        <v>974</v>
      </c>
      <c r="C227" s="674" t="s">
        <v>975</v>
      </c>
      <c r="D227" s="304">
        <v>40</v>
      </c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314"/>
      <c r="R227" s="315"/>
      <c r="S227" s="316"/>
      <c r="T227" s="120"/>
    </row>
    <row r="228" spans="1:20" s="119" customFormat="1" ht="43.5" customHeight="1">
      <c r="A228" s="564" t="s">
        <v>210</v>
      </c>
      <c r="B228" s="601" t="s">
        <v>976</v>
      </c>
      <c r="C228" s="674" t="s">
        <v>977</v>
      </c>
      <c r="D228" s="304">
        <v>17</v>
      </c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314"/>
      <c r="R228" s="315"/>
      <c r="S228" s="316"/>
      <c r="T228" s="120"/>
    </row>
    <row r="229" spans="1:20" s="119" customFormat="1" ht="32.1" customHeight="1">
      <c r="A229" s="564" t="s">
        <v>210</v>
      </c>
      <c r="B229" s="601" t="s">
        <v>978</v>
      </c>
      <c r="C229" s="674" t="s">
        <v>979</v>
      </c>
      <c r="D229" s="304">
        <v>94</v>
      </c>
      <c r="E229" s="47"/>
      <c r="F229" s="47">
        <v>26.54</v>
      </c>
      <c r="G229" s="47"/>
      <c r="H229" s="47">
        <v>2.65</v>
      </c>
      <c r="I229" s="47"/>
      <c r="J229" s="47">
        <v>100</v>
      </c>
      <c r="K229" s="47"/>
      <c r="L229" s="47">
        <v>2.7</v>
      </c>
      <c r="M229" s="47"/>
      <c r="N229" s="47">
        <v>2.7</v>
      </c>
      <c r="O229" s="47"/>
      <c r="P229" s="47"/>
      <c r="Q229" s="314">
        <f t="shared" si="13"/>
        <v>26.917999999999996</v>
      </c>
      <c r="R229" s="315" t="str">
        <f t="shared" si="14"/>
        <v>NO</v>
      </c>
      <c r="S229" s="316" t="str">
        <f t="shared" si="12"/>
        <v>Medio</v>
      </c>
      <c r="T229" s="120"/>
    </row>
    <row r="230" spans="1:20" s="119" customFormat="1" ht="32.1" customHeight="1">
      <c r="A230" s="564" t="s">
        <v>210</v>
      </c>
      <c r="B230" s="601" t="s">
        <v>980</v>
      </c>
      <c r="C230" s="674" t="s">
        <v>981</v>
      </c>
      <c r="D230" s="304">
        <v>80</v>
      </c>
      <c r="E230" s="47"/>
      <c r="F230" s="47"/>
      <c r="G230" s="47">
        <v>53.1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314">
        <f t="shared" si="13"/>
        <v>53.1</v>
      </c>
      <c r="R230" s="315" t="str">
        <f t="shared" si="14"/>
        <v>NO</v>
      </c>
      <c r="S230" s="316" t="str">
        <f t="shared" si="12"/>
        <v>Alto</v>
      </c>
      <c r="T230" s="120"/>
    </row>
    <row r="231" spans="1:20" s="119" customFormat="1" ht="40.5" customHeight="1">
      <c r="A231" s="564" t="s">
        <v>210</v>
      </c>
      <c r="B231" s="601" t="s">
        <v>964</v>
      </c>
      <c r="C231" s="674" t="s">
        <v>982</v>
      </c>
      <c r="D231" s="304">
        <v>79</v>
      </c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314"/>
      <c r="R231" s="315"/>
      <c r="S231" s="316"/>
      <c r="T231" s="120"/>
    </row>
    <row r="232" spans="1:20" s="119" customFormat="1" ht="32.1" customHeight="1">
      <c r="A232" s="564" t="s">
        <v>210</v>
      </c>
      <c r="B232" s="601" t="s">
        <v>555</v>
      </c>
      <c r="C232" s="674" t="s">
        <v>983</v>
      </c>
      <c r="D232" s="304">
        <v>12</v>
      </c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314"/>
      <c r="R232" s="315"/>
      <c r="S232" s="316"/>
      <c r="T232" s="120"/>
    </row>
    <row r="233" spans="1:20" s="119" customFormat="1" ht="32.1" customHeight="1">
      <c r="A233" s="564" t="s">
        <v>210</v>
      </c>
      <c r="B233" s="601" t="s">
        <v>984</v>
      </c>
      <c r="C233" s="674" t="s">
        <v>985</v>
      </c>
      <c r="D233" s="304">
        <v>9</v>
      </c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314"/>
      <c r="R233" s="315"/>
      <c r="S233" s="316"/>
      <c r="T233" s="120"/>
    </row>
    <row r="234" spans="1:20" s="119" customFormat="1" ht="32.1" customHeight="1">
      <c r="A234" s="564" t="s">
        <v>210</v>
      </c>
      <c r="B234" s="601" t="s">
        <v>986</v>
      </c>
      <c r="C234" s="674" t="s">
        <v>987</v>
      </c>
      <c r="D234" s="304">
        <v>18</v>
      </c>
      <c r="E234" s="47"/>
      <c r="F234" s="47"/>
      <c r="G234" s="47">
        <v>100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314">
        <f t="shared" si="13"/>
        <v>100</v>
      </c>
      <c r="R234" s="315" t="str">
        <f t="shared" si="14"/>
        <v>NO</v>
      </c>
      <c r="S234" s="316" t="str">
        <f t="shared" si="12"/>
        <v>Inviable Sanitariamente</v>
      </c>
      <c r="T234" s="120"/>
    </row>
    <row r="235" spans="1:20" s="119" customFormat="1" ht="32.1" customHeight="1">
      <c r="A235" s="564" t="s">
        <v>210</v>
      </c>
      <c r="B235" s="601" t="s">
        <v>988</v>
      </c>
      <c r="C235" s="674" t="s">
        <v>989</v>
      </c>
      <c r="D235" s="304">
        <v>125</v>
      </c>
      <c r="E235" s="47"/>
      <c r="F235" s="47">
        <v>0</v>
      </c>
      <c r="G235" s="47"/>
      <c r="H235" s="47">
        <v>0</v>
      </c>
      <c r="I235" s="47"/>
      <c r="J235" s="47">
        <v>0</v>
      </c>
      <c r="K235" s="47"/>
      <c r="L235" s="47">
        <v>0</v>
      </c>
      <c r="M235" s="47"/>
      <c r="N235" s="47">
        <v>0</v>
      </c>
      <c r="O235" s="47"/>
      <c r="P235" s="47"/>
      <c r="Q235" s="314">
        <f t="shared" si="13"/>
        <v>0</v>
      </c>
      <c r="R235" s="315" t="str">
        <f t="shared" si="14"/>
        <v>SI</v>
      </c>
      <c r="S235" s="316" t="str">
        <f t="shared" si="12"/>
        <v>Sin Riesgo</v>
      </c>
      <c r="T235" s="120"/>
    </row>
    <row r="236" spans="1:20" s="119" customFormat="1" ht="32.1" customHeight="1">
      <c r="A236" s="564" t="s">
        <v>210</v>
      </c>
      <c r="B236" s="601" t="s">
        <v>990</v>
      </c>
      <c r="C236" s="674" t="s">
        <v>991</v>
      </c>
      <c r="D236" s="304">
        <v>100</v>
      </c>
      <c r="E236" s="47"/>
      <c r="F236" s="47"/>
      <c r="G236" s="47">
        <v>100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314">
        <f t="shared" si="13"/>
        <v>100</v>
      </c>
      <c r="R236" s="315" t="str">
        <f t="shared" si="14"/>
        <v>NO</v>
      </c>
      <c r="S236" s="316" t="str">
        <f t="shared" si="12"/>
        <v>Inviable Sanitariamente</v>
      </c>
      <c r="T236" s="120"/>
    </row>
    <row r="237" spans="1:20" s="119" customFormat="1" ht="32.1" customHeight="1">
      <c r="A237" s="564" t="s">
        <v>210</v>
      </c>
      <c r="B237" s="601" t="s">
        <v>685</v>
      </c>
      <c r="C237" s="674" t="s">
        <v>992</v>
      </c>
      <c r="D237" s="304">
        <v>65</v>
      </c>
      <c r="E237" s="47"/>
      <c r="F237" s="47"/>
      <c r="G237" s="47"/>
      <c r="H237" s="47"/>
      <c r="I237" s="47"/>
      <c r="J237" s="47"/>
      <c r="K237" s="47"/>
      <c r="L237" s="47"/>
      <c r="M237" s="47">
        <v>100</v>
      </c>
      <c r="N237" s="47"/>
      <c r="O237" s="47"/>
      <c r="P237" s="47"/>
      <c r="Q237" s="314">
        <f t="shared" si="13"/>
        <v>100</v>
      </c>
      <c r="R237" s="315" t="str">
        <f t="shared" si="14"/>
        <v>NO</v>
      </c>
      <c r="S237" s="316" t="str">
        <f t="shared" si="12"/>
        <v>Inviable Sanitariamente</v>
      </c>
      <c r="T237" s="120"/>
    </row>
    <row r="238" spans="1:20" s="119" customFormat="1" ht="32.1" customHeight="1">
      <c r="A238" s="564" t="s">
        <v>210</v>
      </c>
      <c r="B238" s="601" t="s">
        <v>3</v>
      </c>
      <c r="C238" s="674" t="s">
        <v>993</v>
      </c>
      <c r="D238" s="304">
        <v>36</v>
      </c>
      <c r="E238" s="47"/>
      <c r="F238" s="47"/>
      <c r="G238" s="47">
        <v>100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314">
        <f t="shared" si="13"/>
        <v>100</v>
      </c>
      <c r="R238" s="315" t="str">
        <f t="shared" si="14"/>
        <v>NO</v>
      </c>
      <c r="S238" s="316" t="str">
        <f t="shared" si="12"/>
        <v>Inviable Sanitariamente</v>
      </c>
      <c r="T238" s="120"/>
    </row>
    <row r="239" spans="1:20" s="119" customFormat="1" ht="32.1" customHeight="1">
      <c r="A239" s="564" t="s">
        <v>210</v>
      </c>
      <c r="B239" s="601" t="s">
        <v>994</v>
      </c>
      <c r="C239" s="674" t="s">
        <v>995</v>
      </c>
      <c r="D239" s="304">
        <v>100</v>
      </c>
      <c r="E239" s="47"/>
      <c r="F239" s="47"/>
      <c r="G239" s="47"/>
      <c r="H239" s="47"/>
      <c r="I239" s="47"/>
      <c r="J239" s="47"/>
      <c r="K239" s="47"/>
      <c r="L239" s="47"/>
      <c r="M239" s="47">
        <v>0</v>
      </c>
      <c r="N239" s="47"/>
      <c r="O239" s="47"/>
      <c r="P239" s="47"/>
      <c r="Q239" s="314">
        <f t="shared" si="13"/>
        <v>0</v>
      </c>
      <c r="R239" s="315" t="str">
        <f t="shared" si="14"/>
        <v>SI</v>
      </c>
      <c r="S239" s="316" t="str">
        <f t="shared" si="12"/>
        <v>Sin Riesgo</v>
      </c>
      <c r="T239" s="120"/>
    </row>
    <row r="240" spans="1:20" s="119" customFormat="1" ht="32.1" customHeight="1">
      <c r="A240" s="564" t="s">
        <v>210</v>
      </c>
      <c r="B240" s="601" t="s">
        <v>996</v>
      </c>
      <c r="C240" s="674" t="s">
        <v>997</v>
      </c>
      <c r="D240" s="304">
        <v>15</v>
      </c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314"/>
      <c r="R240" s="389"/>
      <c r="S240" s="316"/>
      <c r="T240" s="120"/>
    </row>
    <row r="241" spans="1:20" s="119" customFormat="1" ht="32.1" customHeight="1">
      <c r="A241" s="404" t="s">
        <v>211</v>
      </c>
      <c r="B241" s="340" t="s">
        <v>788</v>
      </c>
      <c r="C241" s="379" t="s">
        <v>998</v>
      </c>
      <c r="D241" s="410">
        <v>30</v>
      </c>
      <c r="E241" s="47"/>
      <c r="F241" s="47"/>
      <c r="G241" s="47"/>
      <c r="H241" s="47"/>
      <c r="I241" s="47"/>
      <c r="J241" s="47"/>
      <c r="K241" s="47"/>
      <c r="L241" s="47">
        <v>97.9</v>
      </c>
      <c r="M241" s="47"/>
      <c r="N241" s="47"/>
      <c r="O241" s="47"/>
      <c r="P241" s="47"/>
      <c r="Q241" s="314">
        <f t="shared" si="13"/>
        <v>97.9</v>
      </c>
      <c r="R241" s="315" t="str">
        <f t="shared" si="14"/>
        <v>NO</v>
      </c>
      <c r="S241" s="316" t="str">
        <f t="shared" si="12"/>
        <v>Inviable Sanitariamente</v>
      </c>
      <c r="T241" s="120"/>
    </row>
    <row r="242" spans="1:20" s="119" customFormat="1" ht="32.1" customHeight="1">
      <c r="A242" s="404" t="s">
        <v>211</v>
      </c>
      <c r="B242" s="340" t="s">
        <v>62</v>
      </c>
      <c r="C242" s="379" t="s">
        <v>999</v>
      </c>
      <c r="D242" s="410">
        <v>22</v>
      </c>
      <c r="E242" s="47"/>
      <c r="F242" s="47"/>
      <c r="G242" s="47">
        <v>97.3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314">
        <f t="shared" si="13"/>
        <v>97.3</v>
      </c>
      <c r="R242" s="315" t="str">
        <f t="shared" si="14"/>
        <v>NO</v>
      </c>
      <c r="S242" s="316" t="str">
        <f t="shared" si="12"/>
        <v>Inviable Sanitariamente</v>
      </c>
      <c r="T242" s="120"/>
    </row>
    <row r="243" spans="1:20" s="119" customFormat="1" ht="32.1" customHeight="1">
      <c r="A243" s="404" t="s">
        <v>211</v>
      </c>
      <c r="B243" s="340" t="s">
        <v>1000</v>
      </c>
      <c r="C243" s="379" t="s">
        <v>1001</v>
      </c>
      <c r="D243" s="410">
        <v>20</v>
      </c>
      <c r="E243" s="47"/>
      <c r="F243" s="47"/>
      <c r="G243" s="47"/>
      <c r="H243" s="47"/>
      <c r="I243" s="47"/>
      <c r="J243" s="47"/>
      <c r="K243" s="47"/>
      <c r="L243" s="47"/>
      <c r="M243" s="47">
        <v>97.9</v>
      </c>
      <c r="N243" s="47"/>
      <c r="O243" s="47"/>
      <c r="P243" s="47"/>
      <c r="Q243" s="314">
        <f t="shared" si="13"/>
        <v>97.9</v>
      </c>
      <c r="R243" s="315" t="str">
        <f t="shared" si="14"/>
        <v>NO</v>
      </c>
      <c r="S243" s="316" t="str">
        <f t="shared" si="12"/>
        <v>Inviable Sanitariamente</v>
      </c>
      <c r="T243" s="120"/>
    </row>
    <row r="244" spans="1:20" s="119" customFormat="1" ht="32.1" customHeight="1">
      <c r="A244" s="404" t="s">
        <v>211</v>
      </c>
      <c r="B244" s="340" t="s">
        <v>4233</v>
      </c>
      <c r="C244" s="379" t="s">
        <v>4234</v>
      </c>
      <c r="D244" s="410">
        <v>25</v>
      </c>
      <c r="E244" s="47"/>
      <c r="F244" s="47"/>
      <c r="G244" s="47"/>
      <c r="H244" s="47"/>
      <c r="I244" s="47"/>
      <c r="J244" s="47"/>
      <c r="K244" s="47"/>
      <c r="L244" s="47"/>
      <c r="M244" s="47">
        <v>97.9</v>
      </c>
      <c r="N244" s="47"/>
      <c r="O244" s="47"/>
      <c r="P244" s="47"/>
      <c r="Q244" s="314">
        <f>AVERAGE(E244:P244)</f>
        <v>97.9</v>
      </c>
      <c r="R244" s="315" t="str">
        <f>IF(Q244&lt;5,"SI","NO")</f>
        <v>NO</v>
      </c>
      <c r="S244" s="316" t="str">
        <f>IF(Q244&lt;5,"Sin Riesgo",IF(Q244 &lt;=14,"Bajo",IF(Q244&lt;=35,"Medio",IF(Q244&lt;=80,"Alto","Inviable Sanitariamente"))))</f>
        <v>Inviable Sanitariamente</v>
      </c>
      <c r="T244" s="290"/>
    </row>
    <row r="245" spans="1:20" s="119" customFormat="1" ht="32.1" customHeight="1">
      <c r="A245" s="404" t="s">
        <v>211</v>
      </c>
      <c r="B245" s="340" t="s">
        <v>47</v>
      </c>
      <c r="C245" s="379" t="s">
        <v>1002</v>
      </c>
      <c r="D245" s="410">
        <v>60</v>
      </c>
      <c r="E245" s="47"/>
      <c r="F245" s="47">
        <v>97.7</v>
      </c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314">
        <f t="shared" si="13"/>
        <v>97.7</v>
      </c>
      <c r="R245" s="315" t="str">
        <f t="shared" si="14"/>
        <v>NO</v>
      </c>
      <c r="S245" s="316" t="str">
        <f t="shared" si="12"/>
        <v>Inviable Sanitariamente</v>
      </c>
      <c r="T245" s="120"/>
    </row>
    <row r="246" spans="1:20" s="119" customFormat="1" ht="32.1" customHeight="1">
      <c r="A246" s="404" t="s">
        <v>211</v>
      </c>
      <c r="B246" s="340" t="s">
        <v>1003</v>
      </c>
      <c r="C246" s="379" t="s">
        <v>1004</v>
      </c>
      <c r="D246" s="410">
        <v>39</v>
      </c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>
        <v>97.9</v>
      </c>
      <c r="Q246" s="314">
        <f t="shared" si="13"/>
        <v>97.9</v>
      </c>
      <c r="R246" s="315" t="str">
        <f t="shared" si="14"/>
        <v>NO</v>
      </c>
      <c r="S246" s="316" t="str">
        <f t="shared" si="12"/>
        <v>Inviable Sanitariamente</v>
      </c>
      <c r="T246" s="120"/>
    </row>
    <row r="247" spans="1:20" s="119" customFormat="1" ht="32.1" customHeight="1">
      <c r="A247" s="404" t="s">
        <v>211</v>
      </c>
      <c r="B247" s="340" t="s">
        <v>726</v>
      </c>
      <c r="C247" s="379" t="s">
        <v>1005</v>
      </c>
      <c r="D247" s="410">
        <v>99</v>
      </c>
      <c r="E247" s="47"/>
      <c r="F247" s="47"/>
      <c r="G247" s="47"/>
      <c r="H247" s="47"/>
      <c r="I247" s="47"/>
      <c r="J247" s="47"/>
      <c r="K247" s="47"/>
      <c r="L247" s="47"/>
      <c r="M247" s="47">
        <v>97.9</v>
      </c>
      <c r="N247" s="47"/>
      <c r="O247" s="47"/>
      <c r="P247" s="47"/>
      <c r="Q247" s="314">
        <f t="shared" si="13"/>
        <v>97.9</v>
      </c>
      <c r="R247" s="315" t="str">
        <f t="shared" si="14"/>
        <v>NO</v>
      </c>
      <c r="S247" s="316" t="str">
        <f t="shared" si="12"/>
        <v>Inviable Sanitariamente</v>
      </c>
      <c r="T247" s="120"/>
    </row>
    <row r="248" spans="1:20" s="119" customFormat="1" ht="32.1" customHeight="1">
      <c r="A248" s="564" t="s">
        <v>211</v>
      </c>
      <c r="B248" s="601" t="s">
        <v>10</v>
      </c>
      <c r="C248" s="674" t="s">
        <v>1006</v>
      </c>
      <c r="D248" s="304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314"/>
      <c r="R248" s="315"/>
      <c r="S248" s="316"/>
      <c r="T248" s="120"/>
    </row>
    <row r="249" spans="1:20" s="119" customFormat="1" ht="32.1" customHeight="1">
      <c r="A249" s="404" t="s">
        <v>211</v>
      </c>
      <c r="B249" s="340" t="s">
        <v>1007</v>
      </c>
      <c r="C249" s="379" t="s">
        <v>1008</v>
      </c>
      <c r="D249" s="410">
        <v>30</v>
      </c>
      <c r="E249" s="47"/>
      <c r="F249" s="47"/>
      <c r="G249" s="47"/>
      <c r="H249" s="47"/>
      <c r="I249" s="47">
        <v>97.3</v>
      </c>
      <c r="J249" s="47"/>
      <c r="K249" s="47"/>
      <c r="L249" s="47"/>
      <c r="M249" s="47"/>
      <c r="N249" s="47"/>
      <c r="O249" s="47"/>
      <c r="P249" s="47"/>
      <c r="Q249" s="314">
        <f t="shared" si="13"/>
        <v>97.3</v>
      </c>
      <c r="R249" s="315" t="str">
        <f t="shared" si="14"/>
        <v>NO</v>
      </c>
      <c r="S249" s="316" t="str">
        <f t="shared" si="12"/>
        <v>Inviable Sanitariamente</v>
      </c>
      <c r="T249" s="120"/>
    </row>
    <row r="250" spans="1:20" s="119" customFormat="1" ht="32.1" customHeight="1">
      <c r="A250" s="404" t="s">
        <v>211</v>
      </c>
      <c r="B250" s="340" t="s">
        <v>58</v>
      </c>
      <c r="C250" s="379" t="s">
        <v>1009</v>
      </c>
      <c r="D250" s="410">
        <v>23</v>
      </c>
      <c r="E250" s="47"/>
      <c r="F250" s="47"/>
      <c r="G250" s="47">
        <v>97.3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314">
        <f t="shared" si="13"/>
        <v>97.3</v>
      </c>
      <c r="R250" s="315" t="str">
        <f t="shared" si="14"/>
        <v>NO</v>
      </c>
      <c r="S250" s="316" t="str">
        <f t="shared" si="12"/>
        <v>Inviable Sanitariamente</v>
      </c>
      <c r="T250" s="120"/>
    </row>
    <row r="251" spans="1:20" s="119" customFormat="1" ht="32.1" customHeight="1">
      <c r="A251" s="404" t="s">
        <v>211</v>
      </c>
      <c r="B251" s="340" t="s">
        <v>57</v>
      </c>
      <c r="C251" s="379" t="s">
        <v>1010</v>
      </c>
      <c r="D251" s="410">
        <v>27</v>
      </c>
      <c r="E251" s="47"/>
      <c r="F251" s="47"/>
      <c r="G251" s="47">
        <v>97.3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314">
        <f t="shared" si="13"/>
        <v>97.3</v>
      </c>
      <c r="R251" s="315" t="str">
        <f t="shared" si="14"/>
        <v>NO</v>
      </c>
      <c r="S251" s="316" t="str">
        <f t="shared" si="12"/>
        <v>Inviable Sanitariamente</v>
      </c>
      <c r="T251" s="120"/>
    </row>
    <row r="252" spans="1:20" s="119" customFormat="1" ht="32.1" customHeight="1">
      <c r="A252" s="404" t="s">
        <v>211</v>
      </c>
      <c r="B252" s="340" t="s">
        <v>1011</v>
      </c>
      <c r="C252" s="379" t="s">
        <v>1012</v>
      </c>
      <c r="D252" s="410">
        <v>20</v>
      </c>
      <c r="E252" s="47"/>
      <c r="F252" s="47"/>
      <c r="G252" s="47"/>
      <c r="H252" s="47"/>
      <c r="I252" s="47"/>
      <c r="J252" s="47"/>
      <c r="K252" s="47"/>
      <c r="L252" s="47"/>
      <c r="M252" s="47">
        <v>97.9</v>
      </c>
      <c r="N252" s="47"/>
      <c r="O252" s="47"/>
      <c r="P252" s="47"/>
      <c r="Q252" s="314">
        <f t="shared" si="13"/>
        <v>97.9</v>
      </c>
      <c r="R252" s="315" t="str">
        <f t="shared" si="14"/>
        <v>NO</v>
      </c>
      <c r="S252" s="316" t="str">
        <f t="shared" si="12"/>
        <v>Inviable Sanitariamente</v>
      </c>
      <c r="T252" s="120"/>
    </row>
    <row r="253" spans="1:20" s="119" customFormat="1" ht="32.1" customHeight="1">
      <c r="A253" s="404" t="s">
        <v>211</v>
      </c>
      <c r="B253" s="340" t="s">
        <v>1013</v>
      </c>
      <c r="C253" s="379" t="s">
        <v>1014</v>
      </c>
      <c r="D253" s="410">
        <v>22</v>
      </c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>
        <v>97.9</v>
      </c>
      <c r="Q253" s="314">
        <f t="shared" si="13"/>
        <v>97.9</v>
      </c>
      <c r="R253" s="315" t="str">
        <f t="shared" si="14"/>
        <v>NO</v>
      </c>
      <c r="S253" s="316" t="str">
        <f t="shared" si="12"/>
        <v>Inviable Sanitariamente</v>
      </c>
      <c r="T253" s="120"/>
    </row>
    <row r="254" spans="1:20" s="119" customFormat="1" ht="32.1" customHeight="1">
      <c r="A254" s="404" t="s">
        <v>211</v>
      </c>
      <c r="B254" s="340" t="s">
        <v>1015</v>
      </c>
      <c r="C254" s="379" t="s">
        <v>1016</v>
      </c>
      <c r="D254" s="410">
        <v>22</v>
      </c>
      <c r="E254" s="47"/>
      <c r="F254" s="47"/>
      <c r="G254" s="47"/>
      <c r="H254" s="47"/>
      <c r="I254" s="47"/>
      <c r="J254" s="47"/>
      <c r="K254" s="47"/>
      <c r="L254" s="343"/>
      <c r="M254" s="47"/>
      <c r="N254" s="47"/>
      <c r="O254" s="47">
        <v>97.9</v>
      </c>
      <c r="P254" s="47"/>
      <c r="Q254" s="314">
        <v>97.4</v>
      </c>
      <c r="R254" s="315" t="s">
        <v>1017</v>
      </c>
      <c r="S254" s="316" t="str">
        <f t="shared" si="12"/>
        <v>Inviable Sanitariamente</v>
      </c>
      <c r="T254" s="120"/>
    </row>
    <row r="255" spans="1:20" s="119" customFormat="1" ht="32.1" customHeight="1">
      <c r="A255" s="404" t="s">
        <v>211</v>
      </c>
      <c r="B255" s="340" t="s">
        <v>1018</v>
      </c>
      <c r="C255" s="379" t="s">
        <v>1019</v>
      </c>
      <c r="D255" s="410">
        <v>20</v>
      </c>
      <c r="E255" s="47"/>
      <c r="F255" s="47">
        <v>97.3</v>
      </c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314">
        <f t="shared" ref="Q255:Q271" si="15">AVERAGE(E255:P255)</f>
        <v>97.3</v>
      </c>
      <c r="R255" s="315" t="str">
        <f t="shared" ref="R255:R316" si="16">IF(Q255&lt;5,"SI","NO")</f>
        <v>NO</v>
      </c>
      <c r="S255" s="316" t="str">
        <f t="shared" si="12"/>
        <v>Inviable Sanitariamente</v>
      </c>
      <c r="T255" s="120"/>
    </row>
    <row r="256" spans="1:20" s="119" customFormat="1" ht="32.1" customHeight="1">
      <c r="A256" s="404" t="s">
        <v>211</v>
      </c>
      <c r="B256" s="340" t="s">
        <v>1020</v>
      </c>
      <c r="C256" s="379" t="s">
        <v>1021</v>
      </c>
      <c r="D256" s="410">
        <v>32</v>
      </c>
      <c r="E256" s="47"/>
      <c r="F256" s="47"/>
      <c r="G256" s="47"/>
      <c r="H256" s="47"/>
      <c r="I256" s="47"/>
      <c r="J256" s="47"/>
      <c r="K256" s="47"/>
      <c r="L256" s="47"/>
      <c r="M256" s="47"/>
      <c r="N256" s="47">
        <v>97.9</v>
      </c>
      <c r="O256" s="47"/>
      <c r="P256" s="47"/>
      <c r="Q256" s="314">
        <f t="shared" si="15"/>
        <v>97.9</v>
      </c>
      <c r="R256" s="315" t="str">
        <f t="shared" si="16"/>
        <v>NO</v>
      </c>
      <c r="S256" s="316" t="str">
        <f t="shared" si="12"/>
        <v>Inviable Sanitariamente</v>
      </c>
      <c r="T256" s="120"/>
    </row>
    <row r="257" spans="1:20" s="119" customFormat="1" ht="32.1" customHeight="1">
      <c r="A257" s="404" t="s">
        <v>211</v>
      </c>
      <c r="B257" s="340" t="s">
        <v>1022</v>
      </c>
      <c r="C257" s="379" t="s">
        <v>1023</v>
      </c>
      <c r="D257" s="439">
        <v>162</v>
      </c>
      <c r="E257" s="47"/>
      <c r="F257" s="47"/>
      <c r="G257" s="47"/>
      <c r="H257" s="47"/>
      <c r="I257" s="47">
        <v>97.7</v>
      </c>
      <c r="J257" s="47"/>
      <c r="K257" s="47"/>
      <c r="L257" s="47"/>
      <c r="M257" s="47"/>
      <c r="N257" s="47"/>
      <c r="O257" s="47"/>
      <c r="P257" s="47"/>
      <c r="Q257" s="314">
        <f t="shared" si="15"/>
        <v>97.7</v>
      </c>
      <c r="R257" s="315" t="str">
        <f t="shared" si="16"/>
        <v>NO</v>
      </c>
      <c r="S257" s="316" t="str">
        <f t="shared" si="12"/>
        <v>Inviable Sanitariamente</v>
      </c>
      <c r="T257" s="120"/>
    </row>
    <row r="258" spans="1:20" s="119" customFormat="1" ht="32.1" customHeight="1">
      <c r="A258" s="404" t="s">
        <v>211</v>
      </c>
      <c r="B258" s="340" t="s">
        <v>5</v>
      </c>
      <c r="C258" s="379" t="s">
        <v>1024</v>
      </c>
      <c r="D258" s="410">
        <v>162</v>
      </c>
      <c r="E258" s="47"/>
      <c r="F258" s="47"/>
      <c r="G258" s="410"/>
      <c r="H258" s="47"/>
      <c r="I258" s="47">
        <v>97.7</v>
      </c>
      <c r="J258" s="47"/>
      <c r="K258" s="47"/>
      <c r="L258" s="47"/>
      <c r="M258" s="47"/>
      <c r="N258" s="47"/>
      <c r="O258" s="47"/>
      <c r="P258" s="47"/>
      <c r="Q258" s="314">
        <f t="shared" si="15"/>
        <v>97.7</v>
      </c>
      <c r="R258" s="315" t="str">
        <f t="shared" si="16"/>
        <v>NO</v>
      </c>
      <c r="S258" s="316" t="str">
        <f t="shared" si="12"/>
        <v>Inviable Sanitariamente</v>
      </c>
      <c r="T258" s="120"/>
    </row>
    <row r="259" spans="1:20" s="119" customFormat="1" ht="32.1" customHeight="1">
      <c r="A259" s="404" t="s">
        <v>211</v>
      </c>
      <c r="B259" s="340" t="s">
        <v>1025</v>
      </c>
      <c r="C259" s="379" t="s">
        <v>1026</v>
      </c>
      <c r="D259" s="410">
        <v>40</v>
      </c>
      <c r="E259" s="47"/>
      <c r="F259" s="47"/>
      <c r="G259" s="47"/>
      <c r="H259" s="47"/>
      <c r="I259" s="47"/>
      <c r="J259" s="47"/>
      <c r="K259" s="47"/>
      <c r="L259" s="47"/>
      <c r="M259" s="47">
        <v>97.9</v>
      </c>
      <c r="N259" s="47"/>
      <c r="O259" s="47"/>
      <c r="P259" s="47"/>
      <c r="Q259" s="314">
        <f t="shared" si="15"/>
        <v>97.9</v>
      </c>
      <c r="R259" s="315" t="str">
        <f t="shared" si="16"/>
        <v>NO</v>
      </c>
      <c r="S259" s="316" t="str">
        <f t="shared" si="12"/>
        <v>Inviable Sanitariamente</v>
      </c>
      <c r="T259" s="120"/>
    </row>
    <row r="260" spans="1:20" s="119" customFormat="1" ht="32.1" customHeight="1">
      <c r="A260" s="404" t="s">
        <v>211</v>
      </c>
      <c r="B260" s="340" t="s">
        <v>442</v>
      </c>
      <c r="C260" s="379" t="s">
        <v>1027</v>
      </c>
      <c r="D260" s="410">
        <v>162</v>
      </c>
      <c r="E260" s="47"/>
      <c r="F260" s="47"/>
      <c r="G260" s="47"/>
      <c r="H260" s="47"/>
      <c r="I260" s="47">
        <v>97.7</v>
      </c>
      <c r="J260" s="47"/>
      <c r="K260" s="47"/>
      <c r="L260" s="47"/>
      <c r="M260" s="47"/>
      <c r="N260" s="47"/>
      <c r="O260" s="47"/>
      <c r="P260" s="47"/>
      <c r="Q260" s="314">
        <f t="shared" si="15"/>
        <v>97.7</v>
      </c>
      <c r="R260" s="315" t="str">
        <f t="shared" si="16"/>
        <v>NO</v>
      </c>
      <c r="S260" s="316" t="str">
        <f t="shared" si="12"/>
        <v>Inviable Sanitariamente</v>
      </c>
      <c r="T260" s="120"/>
    </row>
    <row r="261" spans="1:20" s="119" customFormat="1" ht="32.1" customHeight="1">
      <c r="A261" s="564" t="s">
        <v>211</v>
      </c>
      <c r="B261" s="601" t="s">
        <v>1028</v>
      </c>
      <c r="C261" s="674" t="s">
        <v>1029</v>
      </c>
      <c r="D261" s="304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314"/>
      <c r="R261" s="315"/>
      <c r="S261" s="316"/>
      <c r="T261" s="120"/>
    </row>
    <row r="262" spans="1:20" s="119" customFormat="1" ht="32.1" customHeight="1">
      <c r="A262" s="404" t="s">
        <v>211</v>
      </c>
      <c r="B262" s="301" t="s">
        <v>1030</v>
      </c>
      <c r="C262" s="328" t="s">
        <v>1031</v>
      </c>
      <c r="D262" s="410">
        <v>26</v>
      </c>
      <c r="E262" s="47"/>
      <c r="F262" s="47"/>
      <c r="G262" s="47"/>
      <c r="H262" s="47"/>
      <c r="I262" s="47"/>
      <c r="J262" s="47"/>
      <c r="K262" s="47"/>
      <c r="L262" s="47">
        <v>97.9</v>
      </c>
      <c r="M262" s="47"/>
      <c r="N262" s="47"/>
      <c r="O262" s="47"/>
      <c r="P262" s="47"/>
      <c r="Q262" s="314">
        <f t="shared" si="15"/>
        <v>97.9</v>
      </c>
      <c r="R262" s="315" t="str">
        <f t="shared" si="16"/>
        <v>NO</v>
      </c>
      <c r="S262" s="316" t="str">
        <f t="shared" si="12"/>
        <v>Inviable Sanitariamente</v>
      </c>
      <c r="T262" s="120"/>
    </row>
    <row r="263" spans="1:20" s="119" customFormat="1" ht="32.1" customHeight="1">
      <c r="A263" s="404" t="s">
        <v>211</v>
      </c>
      <c r="B263" s="301" t="s">
        <v>0</v>
      </c>
      <c r="C263" s="328" t="s">
        <v>1032</v>
      </c>
      <c r="D263" s="410">
        <v>120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>
        <v>97.3</v>
      </c>
      <c r="O263" s="47"/>
      <c r="P263" s="47"/>
      <c r="Q263" s="314">
        <f t="shared" si="15"/>
        <v>97.3</v>
      </c>
      <c r="R263" s="315" t="str">
        <f t="shared" si="16"/>
        <v>NO</v>
      </c>
      <c r="S263" s="316" t="str">
        <f t="shared" si="12"/>
        <v>Inviable Sanitariamente</v>
      </c>
      <c r="T263" s="120"/>
    </row>
    <row r="264" spans="1:20" s="119" customFormat="1" ht="32.1" customHeight="1">
      <c r="A264" s="404" t="s">
        <v>211</v>
      </c>
      <c r="B264" s="301" t="s">
        <v>1033</v>
      </c>
      <c r="C264" s="328" t="s">
        <v>1034</v>
      </c>
      <c r="D264" s="410">
        <v>24</v>
      </c>
      <c r="E264" s="47"/>
      <c r="F264" s="47"/>
      <c r="G264" s="47">
        <v>97.3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314">
        <f t="shared" si="15"/>
        <v>97.3</v>
      </c>
      <c r="R264" s="315" t="str">
        <f t="shared" si="16"/>
        <v>NO</v>
      </c>
      <c r="S264" s="316" t="str">
        <f t="shared" si="12"/>
        <v>Inviable Sanitariamente</v>
      </c>
      <c r="T264" s="120"/>
    </row>
    <row r="265" spans="1:20" s="119" customFormat="1" ht="32.1" customHeight="1">
      <c r="A265" s="404" t="s">
        <v>211</v>
      </c>
      <c r="B265" s="301" t="s">
        <v>583</v>
      </c>
      <c r="C265" s="328" t="s">
        <v>4235</v>
      </c>
      <c r="D265" s="346">
        <v>40</v>
      </c>
      <c r="E265" s="47"/>
      <c r="F265" s="47"/>
      <c r="G265" s="47"/>
      <c r="H265" s="47"/>
      <c r="I265" s="47"/>
      <c r="J265" s="47"/>
      <c r="K265" s="47"/>
      <c r="L265" s="47">
        <v>97.9</v>
      </c>
      <c r="M265" s="47"/>
      <c r="N265" s="47"/>
      <c r="O265" s="47"/>
      <c r="P265" s="47"/>
      <c r="Q265" s="314">
        <f>AVERAGE(E265:P265)</f>
        <v>97.9</v>
      </c>
      <c r="R265" s="315" t="str">
        <f t="shared" si="16"/>
        <v>NO</v>
      </c>
      <c r="S265" s="316" t="str">
        <f t="shared" si="12"/>
        <v>Inviable Sanitariamente</v>
      </c>
      <c r="T265" s="290"/>
    </row>
    <row r="266" spans="1:20" s="119" customFormat="1" ht="32.1" customHeight="1">
      <c r="A266" s="45" t="s">
        <v>211</v>
      </c>
      <c r="B266" s="546" t="s">
        <v>4416</v>
      </c>
      <c r="C266" s="547" t="s">
        <v>4417</v>
      </c>
      <c r="D266" s="346">
        <v>25</v>
      </c>
      <c r="E266" s="47"/>
      <c r="F266" s="47"/>
      <c r="G266" s="47">
        <v>97.3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314">
        <f>AVERAGE(E266:P266)</f>
        <v>97.3</v>
      </c>
      <c r="R266" s="457" t="str">
        <f t="shared" si="16"/>
        <v>NO</v>
      </c>
      <c r="S266" s="458" t="str">
        <f t="shared" si="12"/>
        <v>Inviable Sanitariamente</v>
      </c>
      <c r="T266" s="290"/>
    </row>
    <row r="267" spans="1:20" s="119" customFormat="1" ht="32.1" customHeight="1">
      <c r="A267" s="45" t="s">
        <v>211</v>
      </c>
      <c r="B267" s="546" t="s">
        <v>58</v>
      </c>
      <c r="C267" s="548" t="s">
        <v>2153</v>
      </c>
      <c r="D267" s="346">
        <v>60</v>
      </c>
      <c r="E267" s="47"/>
      <c r="F267" s="47"/>
      <c r="G267" s="47">
        <v>97.3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314">
        <f>AVERAGE(E267:P267)</f>
        <v>97.3</v>
      </c>
      <c r="R267" s="457" t="str">
        <f t="shared" si="16"/>
        <v>NO</v>
      </c>
      <c r="S267" s="458" t="str">
        <f t="shared" si="12"/>
        <v>Inviable Sanitariamente</v>
      </c>
      <c r="T267" s="290"/>
    </row>
    <row r="268" spans="1:20" s="119" customFormat="1" ht="32.1" customHeight="1">
      <c r="A268" s="45" t="s">
        <v>211</v>
      </c>
      <c r="B268" s="546" t="s">
        <v>17</v>
      </c>
      <c r="C268" s="547" t="s">
        <v>4418</v>
      </c>
      <c r="D268" s="346">
        <v>15</v>
      </c>
      <c r="E268" s="47"/>
      <c r="F268" s="47"/>
      <c r="G268" s="47"/>
      <c r="H268" s="47"/>
      <c r="I268" s="47"/>
      <c r="J268" s="47"/>
      <c r="K268" s="47"/>
      <c r="L268" s="47"/>
      <c r="M268" s="47"/>
      <c r="N268" s="47">
        <v>97.9</v>
      </c>
      <c r="O268" s="47"/>
      <c r="P268" s="47"/>
      <c r="Q268" s="314">
        <f>AVERAGE(E268:P268)</f>
        <v>97.9</v>
      </c>
      <c r="R268" s="457" t="str">
        <f t="shared" si="16"/>
        <v>NO</v>
      </c>
      <c r="S268" s="458" t="str">
        <f t="shared" si="12"/>
        <v>Inviable Sanitariamente</v>
      </c>
      <c r="T268" s="290"/>
    </row>
    <row r="269" spans="1:20" s="119" customFormat="1" ht="32.1" customHeight="1">
      <c r="A269" s="45" t="s">
        <v>211</v>
      </c>
      <c r="B269" s="546" t="s">
        <v>1025</v>
      </c>
      <c r="C269" s="547" t="s">
        <v>4419</v>
      </c>
      <c r="D269" s="346">
        <v>20</v>
      </c>
      <c r="E269" s="47"/>
      <c r="F269" s="47"/>
      <c r="G269" s="47"/>
      <c r="H269" s="47"/>
      <c r="I269" s="47"/>
      <c r="J269" s="47"/>
      <c r="K269" s="47"/>
      <c r="L269" s="47">
        <v>97.3</v>
      </c>
      <c r="M269" s="47"/>
      <c r="N269" s="47"/>
      <c r="O269" s="47"/>
      <c r="P269" s="47"/>
      <c r="Q269" s="314">
        <f>AVERAGE(E269:P269)</f>
        <v>97.3</v>
      </c>
      <c r="R269" s="457" t="str">
        <f t="shared" si="16"/>
        <v>NO</v>
      </c>
      <c r="S269" s="458" t="str">
        <f t="shared" si="12"/>
        <v>Inviable Sanitariamente</v>
      </c>
      <c r="T269" s="290"/>
    </row>
    <row r="270" spans="1:20" s="119" customFormat="1" ht="32.1" customHeight="1">
      <c r="A270" s="564" t="s">
        <v>212</v>
      </c>
      <c r="B270" s="601" t="s">
        <v>1035</v>
      </c>
      <c r="C270" s="674" t="s">
        <v>1036</v>
      </c>
      <c r="D270" s="329">
        <v>224</v>
      </c>
      <c r="E270" s="46"/>
      <c r="F270" s="46"/>
      <c r="G270" s="46"/>
      <c r="H270" s="46">
        <v>0</v>
      </c>
      <c r="I270" s="46"/>
      <c r="J270" s="46"/>
      <c r="K270" s="47"/>
      <c r="L270" s="47"/>
      <c r="M270" s="47">
        <v>6.98</v>
      </c>
      <c r="N270" s="47">
        <v>0</v>
      </c>
      <c r="O270" s="47">
        <v>0</v>
      </c>
      <c r="P270" s="47">
        <v>0</v>
      </c>
      <c r="Q270" s="314">
        <f t="shared" si="15"/>
        <v>1.3960000000000001</v>
      </c>
      <c r="R270" s="315" t="str">
        <f t="shared" si="16"/>
        <v>SI</v>
      </c>
      <c r="S270" s="316" t="str">
        <f t="shared" si="12"/>
        <v>Sin Riesgo</v>
      </c>
      <c r="T270" s="120"/>
    </row>
    <row r="271" spans="1:20" s="119" customFormat="1" ht="32.1" customHeight="1">
      <c r="A271" s="564" t="s">
        <v>212</v>
      </c>
      <c r="B271" s="601" t="s">
        <v>622</v>
      </c>
      <c r="C271" s="674" t="s">
        <v>1037</v>
      </c>
      <c r="D271" s="329">
        <v>122</v>
      </c>
      <c r="E271" s="46"/>
      <c r="F271" s="46"/>
      <c r="G271" s="46"/>
      <c r="H271" s="46"/>
      <c r="I271" s="46"/>
      <c r="J271" s="46"/>
      <c r="K271" s="47"/>
      <c r="L271" s="47"/>
      <c r="M271" s="47"/>
      <c r="N271" s="47">
        <v>0</v>
      </c>
      <c r="O271" s="47">
        <v>0</v>
      </c>
      <c r="P271" s="47">
        <v>0</v>
      </c>
      <c r="Q271" s="314">
        <f t="shared" si="15"/>
        <v>0</v>
      </c>
      <c r="R271" s="315" t="str">
        <f t="shared" si="16"/>
        <v>SI</v>
      </c>
      <c r="S271" s="316" t="str">
        <f t="shared" ref="S271:S322" si="17">IF(Q271&lt;5,"Sin Riesgo",IF(Q271 &lt;=14,"Bajo",IF(Q271&lt;=35,"Medio",IF(Q271&lt;=80,"Alto","Inviable Sanitariamente"))))</f>
        <v>Sin Riesgo</v>
      </c>
      <c r="T271" s="120"/>
    </row>
    <row r="272" spans="1:20" s="119" customFormat="1" ht="32.1" customHeight="1">
      <c r="A272" s="564" t="s">
        <v>212</v>
      </c>
      <c r="B272" s="601" t="s">
        <v>1038</v>
      </c>
      <c r="C272" s="674" t="s">
        <v>1039</v>
      </c>
      <c r="D272" s="329">
        <v>64</v>
      </c>
      <c r="E272" s="390"/>
      <c r="F272" s="390">
        <v>0</v>
      </c>
      <c r="G272" s="46"/>
      <c r="H272" s="46"/>
      <c r="I272" s="46"/>
      <c r="J272" s="46">
        <v>1.94</v>
      </c>
      <c r="K272" s="47"/>
      <c r="L272" s="47"/>
      <c r="M272" s="47"/>
      <c r="N272" s="47">
        <v>1.94</v>
      </c>
      <c r="O272" s="47">
        <v>0</v>
      </c>
      <c r="P272" s="47">
        <v>0</v>
      </c>
      <c r="Q272" s="314">
        <f>AVERAGE(G272:P272)</f>
        <v>0.97</v>
      </c>
      <c r="R272" s="315" t="str">
        <f t="shared" si="16"/>
        <v>SI</v>
      </c>
      <c r="S272" s="316" t="str">
        <f t="shared" si="17"/>
        <v>Sin Riesgo</v>
      </c>
      <c r="T272" s="120"/>
    </row>
    <row r="273" spans="1:20" s="119" customFormat="1" ht="32.1" customHeight="1">
      <c r="A273" s="564" t="s">
        <v>212</v>
      </c>
      <c r="B273" s="601" t="s">
        <v>512</v>
      </c>
      <c r="C273" s="674" t="s">
        <v>1040</v>
      </c>
      <c r="D273" s="329">
        <v>484</v>
      </c>
      <c r="E273" s="46">
        <v>0</v>
      </c>
      <c r="F273" s="390"/>
      <c r="G273" s="46">
        <v>19.350000000000001</v>
      </c>
      <c r="H273" s="46"/>
      <c r="I273" s="46">
        <v>0</v>
      </c>
      <c r="J273" s="46"/>
      <c r="K273" s="47">
        <v>0</v>
      </c>
      <c r="L273" s="47"/>
      <c r="M273" s="47"/>
      <c r="N273" s="47">
        <v>0</v>
      </c>
      <c r="O273" s="47">
        <v>0</v>
      </c>
      <c r="P273" s="47">
        <v>0</v>
      </c>
      <c r="Q273" s="314">
        <f>AVERAGE(G273:P273)</f>
        <v>3.2250000000000001</v>
      </c>
      <c r="R273" s="315" t="str">
        <f t="shared" si="16"/>
        <v>SI</v>
      </c>
      <c r="S273" s="316" t="str">
        <f t="shared" si="17"/>
        <v>Sin Riesgo</v>
      </c>
      <c r="T273" s="120"/>
    </row>
    <row r="274" spans="1:20" s="119" customFormat="1" ht="32.1" customHeight="1">
      <c r="A274" s="564" t="s">
        <v>212</v>
      </c>
      <c r="B274" s="601" t="s">
        <v>1041</v>
      </c>
      <c r="C274" s="674" t="s">
        <v>1042</v>
      </c>
      <c r="D274" s="329">
        <v>99</v>
      </c>
      <c r="E274" s="47"/>
      <c r="F274" s="47"/>
      <c r="G274" s="46"/>
      <c r="H274" s="46"/>
      <c r="I274" s="46"/>
      <c r="J274" s="46"/>
      <c r="K274" s="47">
        <v>0</v>
      </c>
      <c r="L274" s="47"/>
      <c r="M274" s="47"/>
      <c r="N274" s="47"/>
      <c r="O274" s="47"/>
      <c r="P274" s="47"/>
      <c r="Q274" s="314">
        <f t="shared" ref="Q274:Q326" si="18">AVERAGE(E274:P274)</f>
        <v>0</v>
      </c>
      <c r="R274" s="315" t="str">
        <f t="shared" si="16"/>
        <v>SI</v>
      </c>
      <c r="S274" s="316" t="str">
        <f t="shared" si="17"/>
        <v>Sin Riesgo</v>
      </c>
      <c r="T274" s="120"/>
    </row>
    <row r="275" spans="1:20" s="119" customFormat="1" ht="32.1" customHeight="1">
      <c r="A275" s="564" t="s">
        <v>212</v>
      </c>
      <c r="B275" s="601" t="s">
        <v>1043</v>
      </c>
      <c r="C275" s="674" t="s">
        <v>1044</v>
      </c>
      <c r="D275" s="329">
        <v>1230</v>
      </c>
      <c r="E275" s="46"/>
      <c r="F275" s="46"/>
      <c r="G275" s="46"/>
      <c r="H275" s="46"/>
      <c r="I275" s="46"/>
      <c r="J275" s="46"/>
      <c r="K275" s="47"/>
      <c r="L275" s="47"/>
      <c r="M275" s="47"/>
      <c r="N275" s="47">
        <v>0</v>
      </c>
      <c r="O275" s="47"/>
      <c r="P275" s="47"/>
      <c r="Q275" s="314">
        <f t="shared" si="18"/>
        <v>0</v>
      </c>
      <c r="R275" s="315" t="str">
        <f t="shared" si="16"/>
        <v>SI</v>
      </c>
      <c r="S275" s="316" t="str">
        <f t="shared" si="17"/>
        <v>Sin Riesgo</v>
      </c>
      <c r="T275" s="120"/>
    </row>
    <row r="276" spans="1:20" s="119" customFormat="1" ht="32.1" customHeight="1">
      <c r="A276" s="564" t="s">
        <v>212</v>
      </c>
      <c r="B276" s="601" t="s">
        <v>1045</v>
      </c>
      <c r="C276" s="674" t="s">
        <v>1046</v>
      </c>
      <c r="D276" s="329">
        <v>156</v>
      </c>
      <c r="E276" s="47"/>
      <c r="F276" s="47"/>
      <c r="G276" s="46"/>
      <c r="H276" s="46"/>
      <c r="I276" s="46"/>
      <c r="J276" s="46"/>
      <c r="K276" s="47"/>
      <c r="L276" s="47"/>
      <c r="M276" s="47"/>
      <c r="N276" s="47"/>
      <c r="O276" s="47">
        <v>0</v>
      </c>
      <c r="P276" s="47"/>
      <c r="Q276" s="314">
        <f t="shared" si="18"/>
        <v>0</v>
      </c>
      <c r="R276" s="315" t="str">
        <f t="shared" si="16"/>
        <v>SI</v>
      </c>
      <c r="S276" s="316" t="str">
        <f t="shared" si="17"/>
        <v>Sin Riesgo</v>
      </c>
      <c r="T276" s="120"/>
    </row>
    <row r="277" spans="1:20" s="119" customFormat="1" ht="32.1" customHeight="1">
      <c r="A277" s="564" t="s">
        <v>212</v>
      </c>
      <c r="B277" s="601" t="s">
        <v>1041</v>
      </c>
      <c r="C277" s="674" t="s">
        <v>1047</v>
      </c>
      <c r="D277" s="329">
        <v>165</v>
      </c>
      <c r="E277" s="47"/>
      <c r="F277" s="47"/>
      <c r="G277" s="46"/>
      <c r="H277" s="46"/>
      <c r="I277" s="46"/>
      <c r="J277" s="46"/>
      <c r="K277" s="47"/>
      <c r="L277" s="47"/>
      <c r="M277" s="47"/>
      <c r="N277" s="47">
        <v>0</v>
      </c>
      <c r="O277" s="47">
        <v>0</v>
      </c>
      <c r="P277" s="47">
        <v>0</v>
      </c>
      <c r="Q277" s="314">
        <f t="shared" si="18"/>
        <v>0</v>
      </c>
      <c r="R277" s="315" t="str">
        <f t="shared" si="16"/>
        <v>SI</v>
      </c>
      <c r="S277" s="316" t="str">
        <f t="shared" si="17"/>
        <v>Sin Riesgo</v>
      </c>
      <c r="T277" s="120"/>
    </row>
    <row r="278" spans="1:20" s="119" customFormat="1" ht="46.5" customHeight="1">
      <c r="A278" s="564" t="s">
        <v>212</v>
      </c>
      <c r="B278" s="601" t="s">
        <v>1048</v>
      </c>
      <c r="C278" s="674" t="s">
        <v>1049</v>
      </c>
      <c r="D278" s="329">
        <v>407</v>
      </c>
      <c r="E278" s="46"/>
      <c r="F278" s="46"/>
      <c r="G278" s="46"/>
      <c r="H278" s="46"/>
      <c r="I278" s="46"/>
      <c r="J278" s="46"/>
      <c r="K278" s="47"/>
      <c r="L278" s="47"/>
      <c r="M278" s="47"/>
      <c r="N278" s="47"/>
      <c r="O278" s="47">
        <v>0</v>
      </c>
      <c r="P278" s="47"/>
      <c r="Q278" s="314">
        <f t="shared" si="18"/>
        <v>0</v>
      </c>
      <c r="R278" s="315" t="str">
        <f t="shared" si="16"/>
        <v>SI</v>
      </c>
      <c r="S278" s="316" t="str">
        <f t="shared" si="17"/>
        <v>Sin Riesgo</v>
      </c>
      <c r="T278" s="120"/>
    </row>
    <row r="279" spans="1:20" s="119" customFormat="1" ht="39.75" customHeight="1">
      <c r="A279" s="564" t="s">
        <v>212</v>
      </c>
      <c r="B279" s="601" t="s">
        <v>20</v>
      </c>
      <c r="C279" s="674" t="s">
        <v>1050</v>
      </c>
      <c r="D279" s="329">
        <v>176</v>
      </c>
      <c r="E279" s="46"/>
      <c r="F279" s="46"/>
      <c r="G279" s="46"/>
      <c r="H279" s="46"/>
      <c r="I279" s="46"/>
      <c r="J279" s="46"/>
      <c r="K279" s="47"/>
      <c r="L279" s="47"/>
      <c r="M279" s="47"/>
      <c r="N279" s="47">
        <v>19.350000000000001</v>
      </c>
      <c r="O279" s="47">
        <v>0</v>
      </c>
      <c r="P279" s="47">
        <v>9.6750000000000007</v>
      </c>
      <c r="Q279" s="314">
        <f t="shared" si="18"/>
        <v>9.6750000000000007</v>
      </c>
      <c r="R279" s="315" t="str">
        <f t="shared" si="16"/>
        <v>NO</v>
      </c>
      <c r="S279" s="316" t="str">
        <f>IF(Q279&lt;5,"Sin Riesgo",IF(Q279 &lt;=14,"Bajo",IF(Q279&lt;=35,"Medio",IF(Q279&lt;=80,"Alto","Inviable Sanitariamente"))))</f>
        <v>Bajo</v>
      </c>
      <c r="T279" s="120"/>
    </row>
    <row r="280" spans="1:20" s="119" customFormat="1" ht="32.1" customHeight="1">
      <c r="A280" s="564" t="s">
        <v>212</v>
      </c>
      <c r="B280" s="601" t="s">
        <v>1372</v>
      </c>
      <c r="C280" s="674" t="s">
        <v>4236</v>
      </c>
      <c r="D280" s="329">
        <v>104</v>
      </c>
      <c r="E280" s="46"/>
      <c r="F280" s="46"/>
      <c r="G280" s="46"/>
      <c r="H280" s="46"/>
      <c r="I280" s="46"/>
      <c r="J280" s="46"/>
      <c r="K280" s="47"/>
      <c r="L280" s="47"/>
      <c r="M280" s="47"/>
      <c r="N280" s="47">
        <v>19.350000000000001</v>
      </c>
      <c r="O280" s="47"/>
      <c r="P280" s="47"/>
      <c r="Q280" s="314">
        <f t="shared" si="18"/>
        <v>19.350000000000001</v>
      </c>
      <c r="R280" s="315" t="str">
        <f t="shared" si="16"/>
        <v>NO</v>
      </c>
      <c r="S280" s="316" t="str">
        <f>IF(Q280&lt;5,"Sin Riesgo",IF(Q280 &lt;=14,"Bajo",IF(Q280&lt;=35,"Medio",IF(Q280&lt;=80,"Alto","Inviable Sanitariamente"))))</f>
        <v>Medio</v>
      </c>
      <c r="T280" s="290"/>
    </row>
    <row r="281" spans="1:20" s="119" customFormat="1" ht="32.1" customHeight="1">
      <c r="A281" s="564" t="s">
        <v>212</v>
      </c>
      <c r="B281" s="601" t="s">
        <v>622</v>
      </c>
      <c r="C281" s="674" t="s">
        <v>1051</v>
      </c>
      <c r="D281" s="329">
        <v>130</v>
      </c>
      <c r="E281" s="46"/>
      <c r="F281" s="46"/>
      <c r="G281" s="46"/>
      <c r="H281" s="46"/>
      <c r="I281" s="46"/>
      <c r="J281" s="46"/>
      <c r="K281" s="47"/>
      <c r="L281" s="47"/>
      <c r="M281" s="47"/>
      <c r="N281" s="47"/>
      <c r="O281" s="47"/>
      <c r="P281" s="47"/>
      <c r="Q281" s="314"/>
      <c r="R281" s="315"/>
      <c r="S281" s="316"/>
      <c r="T281" s="120"/>
    </row>
    <row r="282" spans="1:20" s="119" customFormat="1" ht="32.1" customHeight="1">
      <c r="A282" s="564" t="s">
        <v>212</v>
      </c>
      <c r="B282" s="601" t="s">
        <v>1052</v>
      </c>
      <c r="C282" s="674" t="s">
        <v>1053</v>
      </c>
      <c r="D282" s="329">
        <v>160</v>
      </c>
      <c r="E282" s="46"/>
      <c r="F282" s="46"/>
      <c r="G282" s="46"/>
      <c r="H282" s="46"/>
      <c r="I282" s="46"/>
      <c r="J282" s="46">
        <v>0</v>
      </c>
      <c r="K282" s="47"/>
      <c r="L282" s="47"/>
      <c r="M282" s="47"/>
      <c r="N282" s="47">
        <v>0</v>
      </c>
      <c r="O282" s="47"/>
      <c r="P282" s="47"/>
      <c r="Q282" s="314">
        <f t="shared" si="18"/>
        <v>0</v>
      </c>
      <c r="R282" s="315" t="str">
        <f t="shared" si="16"/>
        <v>SI</v>
      </c>
      <c r="S282" s="316" t="str">
        <f t="shared" si="17"/>
        <v>Sin Riesgo</v>
      </c>
      <c r="T282" s="120"/>
    </row>
    <row r="283" spans="1:20" s="119" customFormat="1" ht="32.1" customHeight="1">
      <c r="A283" s="564" t="s">
        <v>212</v>
      </c>
      <c r="B283" s="601" t="s">
        <v>1054</v>
      </c>
      <c r="C283" s="674" t="s">
        <v>1055</v>
      </c>
      <c r="D283" s="329">
        <v>158</v>
      </c>
      <c r="E283" s="46"/>
      <c r="F283" s="46"/>
      <c r="G283" s="46"/>
      <c r="H283" s="46"/>
      <c r="I283" s="46"/>
      <c r="J283" s="46"/>
      <c r="K283" s="47"/>
      <c r="L283" s="47"/>
      <c r="M283" s="47"/>
      <c r="N283" s="47">
        <v>19.350000000000001</v>
      </c>
      <c r="O283" s="47">
        <v>9.6750000000000007</v>
      </c>
      <c r="P283" s="47">
        <v>0</v>
      </c>
      <c r="Q283" s="314">
        <f t="shared" si="18"/>
        <v>9.6750000000000007</v>
      </c>
      <c r="R283" s="315" t="str">
        <f t="shared" si="16"/>
        <v>NO</v>
      </c>
      <c r="S283" s="316" t="str">
        <f t="shared" si="17"/>
        <v>Bajo</v>
      </c>
      <c r="T283" s="120"/>
    </row>
    <row r="284" spans="1:20" s="119" customFormat="1" ht="32.1" customHeight="1">
      <c r="A284" s="564" t="s">
        <v>212</v>
      </c>
      <c r="B284" s="601" t="s">
        <v>1056</v>
      </c>
      <c r="C284" s="674" t="s">
        <v>1057</v>
      </c>
      <c r="D284" s="329">
        <v>697</v>
      </c>
      <c r="E284" s="46"/>
      <c r="F284" s="46"/>
      <c r="G284" s="46"/>
      <c r="H284" s="46"/>
      <c r="I284" s="46"/>
      <c r="J284" s="46"/>
      <c r="K284" s="47"/>
      <c r="L284" s="47"/>
      <c r="M284" s="47"/>
      <c r="N284" s="47"/>
      <c r="O284" s="47"/>
      <c r="P284" s="47"/>
      <c r="Q284" s="314"/>
      <c r="R284" s="315"/>
      <c r="S284" s="316"/>
      <c r="T284" s="120"/>
    </row>
    <row r="285" spans="1:20" s="119" customFormat="1" ht="32.1" customHeight="1">
      <c r="A285" s="564" t="s">
        <v>212</v>
      </c>
      <c r="B285" s="601" t="s">
        <v>512</v>
      </c>
      <c r="C285" s="674" t="s">
        <v>1058</v>
      </c>
      <c r="D285" s="329">
        <v>82</v>
      </c>
      <c r="E285" s="46"/>
      <c r="F285" s="46"/>
      <c r="G285" s="46"/>
      <c r="H285" s="46"/>
      <c r="I285" s="46"/>
      <c r="J285" s="46"/>
      <c r="K285" s="47"/>
      <c r="L285" s="47"/>
      <c r="M285" s="47"/>
      <c r="N285" s="47"/>
      <c r="O285" s="47"/>
      <c r="P285" s="47">
        <v>19.350000000000001</v>
      </c>
      <c r="Q285" s="314">
        <f t="shared" si="18"/>
        <v>19.350000000000001</v>
      </c>
      <c r="R285" s="315" t="str">
        <f t="shared" si="16"/>
        <v>NO</v>
      </c>
      <c r="S285" s="316" t="str">
        <f t="shared" si="17"/>
        <v>Medio</v>
      </c>
      <c r="T285" s="120"/>
    </row>
    <row r="286" spans="1:20" s="119" customFormat="1" ht="32.1" customHeight="1">
      <c r="A286" s="564" t="s">
        <v>212</v>
      </c>
      <c r="B286" s="601" t="s">
        <v>1059</v>
      </c>
      <c r="C286" s="674" t="s">
        <v>1060</v>
      </c>
      <c r="D286" s="329">
        <v>358</v>
      </c>
      <c r="E286" s="46"/>
      <c r="F286" s="46"/>
      <c r="G286" s="46"/>
      <c r="H286" s="46"/>
      <c r="I286" s="46"/>
      <c r="J286" s="46"/>
      <c r="K286" s="47"/>
      <c r="L286" s="47"/>
      <c r="M286" s="47"/>
      <c r="N286" s="47"/>
      <c r="O286" s="47">
        <v>19.350000000000001</v>
      </c>
      <c r="P286" s="47">
        <v>0</v>
      </c>
      <c r="Q286" s="314">
        <f t="shared" si="18"/>
        <v>9.6750000000000007</v>
      </c>
      <c r="R286" s="315" t="str">
        <f t="shared" si="16"/>
        <v>NO</v>
      </c>
      <c r="S286" s="316" t="str">
        <f t="shared" si="17"/>
        <v>Bajo</v>
      </c>
      <c r="T286" s="120"/>
    </row>
    <row r="287" spans="1:20" s="119" customFormat="1" ht="32.1" customHeight="1">
      <c r="A287" s="564" t="s">
        <v>212</v>
      </c>
      <c r="B287" s="601" t="s">
        <v>68</v>
      </c>
      <c r="C287" s="674" t="s">
        <v>1061</v>
      </c>
      <c r="D287" s="329">
        <v>203</v>
      </c>
      <c r="E287" s="46"/>
      <c r="F287" s="46"/>
      <c r="G287" s="46">
        <v>0</v>
      </c>
      <c r="H287" s="46"/>
      <c r="I287" s="46"/>
      <c r="J287" s="46"/>
      <c r="K287" s="47"/>
      <c r="L287" s="47">
        <v>0</v>
      </c>
      <c r="M287" s="47"/>
      <c r="N287" s="47"/>
      <c r="O287" s="47">
        <v>0</v>
      </c>
      <c r="P287" s="47">
        <v>19.350000000000001</v>
      </c>
      <c r="Q287" s="314">
        <f t="shared" si="18"/>
        <v>4.8375000000000004</v>
      </c>
      <c r="R287" s="315" t="str">
        <f t="shared" si="16"/>
        <v>SI</v>
      </c>
      <c r="S287" s="316" t="str">
        <f t="shared" si="17"/>
        <v>Sin Riesgo</v>
      </c>
      <c r="T287" s="120"/>
    </row>
    <row r="288" spans="1:20" s="119" customFormat="1" ht="32.1" customHeight="1">
      <c r="A288" s="564" t="s">
        <v>212</v>
      </c>
      <c r="B288" s="601" t="s">
        <v>1062</v>
      </c>
      <c r="C288" s="674" t="s">
        <v>1063</v>
      </c>
      <c r="D288" s="329">
        <v>190</v>
      </c>
      <c r="E288" s="46"/>
      <c r="F288" s="46"/>
      <c r="G288" s="46"/>
      <c r="H288" s="46"/>
      <c r="I288" s="46"/>
      <c r="J288" s="46"/>
      <c r="K288" s="47"/>
      <c r="L288" s="47"/>
      <c r="M288" s="47"/>
      <c r="N288" s="47"/>
      <c r="O288" s="47"/>
      <c r="P288" s="47"/>
      <c r="Q288" s="314"/>
      <c r="R288" s="315"/>
      <c r="S288" s="316"/>
      <c r="T288" s="120"/>
    </row>
    <row r="289" spans="1:20" s="119" customFormat="1" ht="32.1" customHeight="1">
      <c r="A289" s="564" t="s">
        <v>212</v>
      </c>
      <c r="B289" s="601" t="s">
        <v>95</v>
      </c>
      <c r="C289" s="674" t="s">
        <v>1064</v>
      </c>
      <c r="D289" s="329">
        <v>118</v>
      </c>
      <c r="E289" s="46"/>
      <c r="F289" s="46"/>
      <c r="G289" s="46"/>
      <c r="H289" s="46"/>
      <c r="I289" s="46"/>
      <c r="J289" s="46">
        <v>0</v>
      </c>
      <c r="K289" s="47"/>
      <c r="L289" s="47"/>
      <c r="M289" s="47"/>
      <c r="N289" s="47">
        <v>0</v>
      </c>
      <c r="O289" s="47">
        <v>0</v>
      </c>
      <c r="P289" s="47">
        <v>38.71</v>
      </c>
      <c r="Q289" s="314">
        <f t="shared" si="18"/>
        <v>9.6775000000000002</v>
      </c>
      <c r="R289" s="315" t="str">
        <f t="shared" si="16"/>
        <v>NO</v>
      </c>
      <c r="S289" s="316" t="str">
        <f t="shared" si="17"/>
        <v>Bajo</v>
      </c>
      <c r="T289" s="120"/>
    </row>
    <row r="290" spans="1:20" s="119" customFormat="1" ht="32.1" customHeight="1">
      <c r="A290" s="564" t="s">
        <v>212</v>
      </c>
      <c r="B290" s="601" t="s">
        <v>1065</v>
      </c>
      <c r="C290" s="674" t="s">
        <v>1066</v>
      </c>
      <c r="D290" s="329">
        <v>348</v>
      </c>
      <c r="E290" s="46"/>
      <c r="F290" s="46"/>
      <c r="G290" s="46"/>
      <c r="H290" s="46"/>
      <c r="I290" s="46"/>
      <c r="J290" s="46"/>
      <c r="K290" s="47"/>
      <c r="L290" s="47"/>
      <c r="M290" s="47"/>
      <c r="N290" s="47"/>
      <c r="O290" s="47"/>
      <c r="P290" s="47"/>
      <c r="Q290" s="314"/>
      <c r="R290" s="315"/>
      <c r="S290" s="316"/>
      <c r="T290" s="120"/>
    </row>
    <row r="291" spans="1:20" s="119" customFormat="1" ht="32.1" customHeight="1">
      <c r="A291" s="564" t="s">
        <v>212</v>
      </c>
      <c r="B291" s="601" t="s">
        <v>820</v>
      </c>
      <c r="C291" s="674" t="s">
        <v>1067</v>
      </c>
      <c r="D291" s="329">
        <v>221</v>
      </c>
      <c r="E291" s="46"/>
      <c r="F291" s="46">
        <v>0</v>
      </c>
      <c r="G291" s="46"/>
      <c r="H291" s="46">
        <v>46.45</v>
      </c>
      <c r="I291" s="46">
        <v>0</v>
      </c>
      <c r="J291" s="46">
        <v>0</v>
      </c>
      <c r="K291" s="47"/>
      <c r="L291" s="47"/>
      <c r="M291" s="47"/>
      <c r="N291" s="47">
        <v>38.71</v>
      </c>
      <c r="O291" s="47"/>
      <c r="P291" s="47">
        <v>0</v>
      </c>
      <c r="Q291" s="314">
        <f>AVERAGE(E291:P291)</f>
        <v>14.193333333333333</v>
      </c>
      <c r="R291" s="315" t="str">
        <f t="shared" si="16"/>
        <v>NO</v>
      </c>
      <c r="S291" s="316" t="str">
        <f t="shared" si="17"/>
        <v>Medio</v>
      </c>
      <c r="T291" s="120"/>
    </row>
    <row r="292" spans="1:20" s="119" customFormat="1" ht="32.1" customHeight="1">
      <c r="A292" s="564" t="s">
        <v>212</v>
      </c>
      <c r="B292" s="601" t="s">
        <v>1068</v>
      </c>
      <c r="C292" s="674" t="s">
        <v>1069</v>
      </c>
      <c r="D292" s="329">
        <v>36</v>
      </c>
      <c r="E292" s="46">
        <v>0</v>
      </c>
      <c r="F292" s="46"/>
      <c r="G292" s="46">
        <v>0</v>
      </c>
      <c r="H292" s="46">
        <v>27.1</v>
      </c>
      <c r="I292" s="46"/>
      <c r="J292" s="46">
        <v>27.1</v>
      </c>
      <c r="K292" s="47">
        <v>46.45</v>
      </c>
      <c r="L292" s="47"/>
      <c r="M292" s="47"/>
      <c r="N292" s="47"/>
      <c r="O292" s="47"/>
      <c r="P292" s="47">
        <v>0</v>
      </c>
      <c r="Q292" s="314">
        <f t="shared" si="18"/>
        <v>16.775000000000002</v>
      </c>
      <c r="R292" s="315" t="str">
        <f t="shared" si="16"/>
        <v>NO</v>
      </c>
      <c r="S292" s="316" t="str">
        <f t="shared" si="17"/>
        <v>Medio</v>
      </c>
      <c r="T292" s="120"/>
    </row>
    <row r="293" spans="1:20" s="119" customFormat="1" ht="32.1" customHeight="1">
      <c r="A293" s="564" t="s">
        <v>212</v>
      </c>
      <c r="B293" s="601" t="s">
        <v>95</v>
      </c>
      <c r="C293" s="674" t="s">
        <v>1070</v>
      </c>
      <c r="D293" s="329">
        <v>43</v>
      </c>
      <c r="E293" s="46"/>
      <c r="F293" s="46">
        <v>0</v>
      </c>
      <c r="G293" s="46">
        <v>46.45</v>
      </c>
      <c r="H293" s="46"/>
      <c r="I293" s="46"/>
      <c r="J293" s="46"/>
      <c r="K293" s="47">
        <v>27.1</v>
      </c>
      <c r="L293" s="47"/>
      <c r="M293" s="47"/>
      <c r="N293" s="47"/>
      <c r="O293" s="47">
        <v>19.350000000000001</v>
      </c>
      <c r="P293" s="47"/>
      <c r="Q293" s="314">
        <f t="shared" si="18"/>
        <v>23.225000000000001</v>
      </c>
      <c r="R293" s="315" t="str">
        <f t="shared" si="16"/>
        <v>NO</v>
      </c>
      <c r="S293" s="316" t="str">
        <f t="shared" si="17"/>
        <v>Medio</v>
      </c>
      <c r="T293" s="120"/>
    </row>
    <row r="294" spans="1:20" s="119" customFormat="1" ht="32.1" customHeight="1">
      <c r="A294" s="564" t="s">
        <v>212</v>
      </c>
      <c r="B294" s="601" t="s">
        <v>1071</v>
      </c>
      <c r="C294" s="674" t="s">
        <v>1072</v>
      </c>
      <c r="D294" s="329">
        <v>130</v>
      </c>
      <c r="E294" s="46"/>
      <c r="F294" s="46"/>
      <c r="G294" s="46">
        <v>19.350000000000001</v>
      </c>
      <c r="H294" s="46"/>
      <c r="I294" s="46"/>
      <c r="J294" s="46"/>
      <c r="K294" s="47"/>
      <c r="L294" s="47"/>
      <c r="M294" s="47"/>
      <c r="N294" s="47">
        <v>0</v>
      </c>
      <c r="O294" s="47">
        <v>0</v>
      </c>
      <c r="P294" s="47">
        <v>23.22</v>
      </c>
      <c r="Q294" s="314">
        <f t="shared" si="18"/>
        <v>10.6425</v>
      </c>
      <c r="R294" s="315" t="str">
        <f t="shared" si="16"/>
        <v>NO</v>
      </c>
      <c r="S294" s="316" t="str">
        <f t="shared" si="17"/>
        <v>Bajo</v>
      </c>
      <c r="T294" s="120"/>
    </row>
    <row r="295" spans="1:20" s="119" customFormat="1" ht="32.1" customHeight="1">
      <c r="A295" s="564" t="s">
        <v>212</v>
      </c>
      <c r="B295" s="601" t="s">
        <v>1073</v>
      </c>
      <c r="C295" s="674" t="s">
        <v>1074</v>
      </c>
      <c r="D295" s="329">
        <v>249</v>
      </c>
      <c r="E295" s="46"/>
      <c r="F295" s="46"/>
      <c r="G295" s="46"/>
      <c r="H295" s="46"/>
      <c r="I295" s="46"/>
      <c r="J295" s="46"/>
      <c r="K295" s="47"/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314">
        <f>AVERAGE(E295:P295)</f>
        <v>0</v>
      </c>
      <c r="R295" s="315" t="str">
        <f t="shared" si="16"/>
        <v>SI</v>
      </c>
      <c r="S295" s="316" t="str">
        <f t="shared" si="17"/>
        <v>Sin Riesgo</v>
      </c>
      <c r="T295" s="120"/>
    </row>
    <row r="296" spans="1:20" s="119" customFormat="1" ht="32.1" customHeight="1">
      <c r="A296" s="564" t="s">
        <v>212</v>
      </c>
      <c r="B296" s="601" t="s">
        <v>1075</v>
      </c>
      <c r="C296" s="674" t="s">
        <v>1076</v>
      </c>
      <c r="D296" s="329">
        <v>718</v>
      </c>
      <c r="E296" s="46"/>
      <c r="F296" s="46"/>
      <c r="G296" s="46">
        <v>0</v>
      </c>
      <c r="H296" s="46"/>
      <c r="I296" s="46"/>
      <c r="J296" s="46"/>
      <c r="K296" s="47"/>
      <c r="L296" s="47">
        <v>0</v>
      </c>
      <c r="M296" s="47"/>
      <c r="N296" s="47">
        <v>0</v>
      </c>
      <c r="O296" s="47">
        <v>0</v>
      </c>
      <c r="P296" s="47">
        <v>0</v>
      </c>
      <c r="Q296" s="314">
        <f t="shared" si="18"/>
        <v>0</v>
      </c>
      <c r="R296" s="315" t="str">
        <f t="shared" si="16"/>
        <v>SI</v>
      </c>
      <c r="S296" s="316" t="str">
        <f t="shared" si="17"/>
        <v>Sin Riesgo</v>
      </c>
      <c r="T296" s="120"/>
    </row>
    <row r="297" spans="1:20" s="119" customFormat="1" ht="32.1" customHeight="1">
      <c r="A297" s="564" t="s">
        <v>212</v>
      </c>
      <c r="B297" s="601" t="s">
        <v>586</v>
      </c>
      <c r="C297" s="674" t="s">
        <v>1077</v>
      </c>
      <c r="D297" s="329">
        <v>117</v>
      </c>
      <c r="E297" s="46">
        <v>0</v>
      </c>
      <c r="F297" s="46"/>
      <c r="G297" s="46"/>
      <c r="H297" s="46"/>
      <c r="I297" s="46"/>
      <c r="J297" s="46"/>
      <c r="K297" s="47">
        <v>0</v>
      </c>
      <c r="L297" s="47"/>
      <c r="M297" s="47"/>
      <c r="N297" s="47"/>
      <c r="O297" s="47">
        <v>0</v>
      </c>
      <c r="P297" s="47">
        <v>0</v>
      </c>
      <c r="Q297" s="314">
        <f t="shared" si="18"/>
        <v>0</v>
      </c>
      <c r="R297" s="315" t="str">
        <f t="shared" si="16"/>
        <v>SI</v>
      </c>
      <c r="S297" s="316" t="str">
        <f t="shared" si="17"/>
        <v>Sin Riesgo</v>
      </c>
      <c r="T297" s="120"/>
    </row>
    <row r="298" spans="1:20" s="119" customFormat="1" ht="32.1" customHeight="1">
      <c r="A298" s="564" t="s">
        <v>212</v>
      </c>
      <c r="B298" s="601" t="s">
        <v>1078</v>
      </c>
      <c r="C298" s="674" t="s">
        <v>1079</v>
      </c>
      <c r="D298" s="329">
        <v>119</v>
      </c>
      <c r="E298" s="46"/>
      <c r="F298" s="46">
        <v>0</v>
      </c>
      <c r="G298" s="46"/>
      <c r="H298" s="46"/>
      <c r="I298" s="46"/>
      <c r="J298" s="46">
        <v>6.98</v>
      </c>
      <c r="K298" s="47"/>
      <c r="L298" s="47"/>
      <c r="M298" s="47"/>
      <c r="N298" s="47">
        <v>0</v>
      </c>
      <c r="O298" s="47">
        <v>0</v>
      </c>
      <c r="P298" s="47">
        <v>0</v>
      </c>
      <c r="Q298" s="314">
        <f t="shared" si="18"/>
        <v>1.3960000000000001</v>
      </c>
      <c r="R298" s="315" t="str">
        <f t="shared" si="16"/>
        <v>SI</v>
      </c>
      <c r="S298" s="316" t="str">
        <f t="shared" si="17"/>
        <v>Sin Riesgo</v>
      </c>
      <c r="T298" s="120"/>
    </row>
    <row r="299" spans="1:20" s="119" customFormat="1" ht="32.1" customHeight="1">
      <c r="A299" s="564" t="s">
        <v>212</v>
      </c>
      <c r="B299" s="601" t="s">
        <v>1080</v>
      </c>
      <c r="C299" s="674" t="s">
        <v>1081</v>
      </c>
      <c r="D299" s="329">
        <v>40</v>
      </c>
      <c r="E299" s="46"/>
      <c r="F299" s="46"/>
      <c r="G299" s="46"/>
      <c r="H299" s="46"/>
      <c r="I299" s="46"/>
      <c r="J299" s="46"/>
      <c r="K299" s="47"/>
      <c r="L299" s="47"/>
      <c r="M299" s="47"/>
      <c r="N299" s="47">
        <v>0</v>
      </c>
      <c r="O299" s="47">
        <v>0</v>
      </c>
      <c r="P299" s="47">
        <v>23.22</v>
      </c>
      <c r="Q299" s="314">
        <f t="shared" si="18"/>
        <v>7.7399999999999993</v>
      </c>
      <c r="R299" s="315" t="str">
        <f t="shared" si="16"/>
        <v>NO</v>
      </c>
      <c r="S299" s="316" t="str">
        <f t="shared" si="17"/>
        <v>Bajo</v>
      </c>
      <c r="T299" s="120"/>
    </row>
    <row r="300" spans="1:20" s="119" customFormat="1" ht="32.1" customHeight="1">
      <c r="A300" s="564" t="s">
        <v>212</v>
      </c>
      <c r="B300" s="601" t="s">
        <v>20</v>
      </c>
      <c r="C300" s="674" t="s">
        <v>1082</v>
      </c>
      <c r="D300" s="329">
        <v>440</v>
      </c>
      <c r="E300" s="46">
        <v>0</v>
      </c>
      <c r="F300" s="46"/>
      <c r="G300" s="46"/>
      <c r="H300" s="46"/>
      <c r="I300" s="46">
        <v>0</v>
      </c>
      <c r="J300" s="46"/>
      <c r="K300" s="47">
        <v>0</v>
      </c>
      <c r="L300" s="47">
        <v>0</v>
      </c>
      <c r="M300" s="47">
        <v>0</v>
      </c>
      <c r="N300" s="47">
        <v>9.6999999999999993</v>
      </c>
      <c r="O300" s="47">
        <v>0</v>
      </c>
      <c r="P300" s="47">
        <v>0</v>
      </c>
      <c r="Q300" s="314">
        <f t="shared" si="18"/>
        <v>1.2124999999999999</v>
      </c>
      <c r="R300" s="315" t="str">
        <f t="shared" si="16"/>
        <v>SI</v>
      </c>
      <c r="S300" s="316" t="str">
        <f t="shared" si="17"/>
        <v>Sin Riesgo</v>
      </c>
      <c r="T300" s="120"/>
    </row>
    <row r="301" spans="1:20" s="119" customFormat="1" ht="32.1" customHeight="1">
      <c r="A301" s="564" t="s">
        <v>212</v>
      </c>
      <c r="B301" s="601" t="s">
        <v>1083</v>
      </c>
      <c r="C301" s="674" t="s">
        <v>1084</v>
      </c>
      <c r="D301" s="329">
        <v>245.304</v>
      </c>
      <c r="E301" s="46">
        <v>0</v>
      </c>
      <c r="F301" s="46"/>
      <c r="G301" s="46"/>
      <c r="H301" s="46"/>
      <c r="I301" s="46"/>
      <c r="J301" s="46">
        <v>0</v>
      </c>
      <c r="K301" s="47"/>
      <c r="L301" s="47"/>
      <c r="M301" s="47"/>
      <c r="N301" s="47">
        <v>0</v>
      </c>
      <c r="O301" s="47"/>
      <c r="P301" s="47">
        <v>0</v>
      </c>
      <c r="Q301" s="314">
        <f t="shared" si="18"/>
        <v>0</v>
      </c>
      <c r="R301" s="315" t="str">
        <f t="shared" si="16"/>
        <v>SI</v>
      </c>
      <c r="S301" s="316" t="str">
        <f t="shared" si="17"/>
        <v>Sin Riesgo</v>
      </c>
      <c r="T301" s="120"/>
    </row>
    <row r="302" spans="1:20" s="119" customFormat="1" ht="32.1" customHeight="1">
      <c r="A302" s="564" t="s">
        <v>212</v>
      </c>
      <c r="B302" s="601" t="s">
        <v>622</v>
      </c>
      <c r="C302" s="674" t="s">
        <v>1085</v>
      </c>
      <c r="D302" s="329">
        <v>93</v>
      </c>
      <c r="E302" s="46"/>
      <c r="F302" s="46">
        <v>0</v>
      </c>
      <c r="G302" s="46"/>
      <c r="H302" s="46"/>
      <c r="I302" s="46"/>
      <c r="J302" s="46">
        <v>20.22</v>
      </c>
      <c r="K302" s="47"/>
      <c r="L302" s="47"/>
      <c r="M302" s="47"/>
      <c r="N302" s="47"/>
      <c r="O302" s="47">
        <v>0</v>
      </c>
      <c r="P302" s="47">
        <v>0</v>
      </c>
      <c r="Q302" s="314">
        <f t="shared" si="18"/>
        <v>5.0549999999999997</v>
      </c>
      <c r="R302" s="315" t="str">
        <f t="shared" si="16"/>
        <v>NO</v>
      </c>
      <c r="S302" s="316" t="str">
        <f t="shared" si="17"/>
        <v>Bajo</v>
      </c>
      <c r="T302" s="120"/>
    </row>
    <row r="303" spans="1:20" s="119" customFormat="1" ht="32.1" customHeight="1">
      <c r="A303" s="564" t="s">
        <v>212</v>
      </c>
      <c r="B303" s="601" t="s">
        <v>1086</v>
      </c>
      <c r="C303" s="674" t="s">
        <v>1087</v>
      </c>
      <c r="D303" s="329">
        <v>174</v>
      </c>
      <c r="E303" s="46"/>
      <c r="F303" s="46"/>
      <c r="G303" s="46">
        <v>0</v>
      </c>
      <c r="H303" s="46"/>
      <c r="I303" s="46"/>
      <c r="J303" s="46"/>
      <c r="K303" s="47"/>
      <c r="L303" s="47"/>
      <c r="M303" s="47"/>
      <c r="N303" s="47"/>
      <c r="O303" s="47">
        <v>0</v>
      </c>
      <c r="P303" s="47">
        <v>0</v>
      </c>
      <c r="Q303" s="314">
        <f t="shared" si="18"/>
        <v>0</v>
      </c>
      <c r="R303" s="315" t="str">
        <f t="shared" si="16"/>
        <v>SI</v>
      </c>
      <c r="S303" s="316" t="str">
        <f t="shared" si="17"/>
        <v>Sin Riesgo</v>
      </c>
      <c r="T303" s="120"/>
    </row>
    <row r="304" spans="1:20" s="119" customFormat="1" ht="32.1" customHeight="1">
      <c r="A304" s="564" t="s">
        <v>212</v>
      </c>
      <c r="B304" s="601" t="s">
        <v>1052</v>
      </c>
      <c r="C304" s="674" t="s">
        <v>1088</v>
      </c>
      <c r="D304" s="329">
        <v>107</v>
      </c>
      <c r="E304" s="46"/>
      <c r="F304" s="46"/>
      <c r="G304" s="46"/>
      <c r="H304" s="46">
        <v>0</v>
      </c>
      <c r="I304" s="46"/>
      <c r="J304" s="46"/>
      <c r="K304" s="47"/>
      <c r="L304" s="47">
        <v>16.850000000000001</v>
      </c>
      <c r="M304" s="47"/>
      <c r="N304" s="47"/>
      <c r="O304" s="47">
        <v>0</v>
      </c>
      <c r="P304" s="47">
        <v>0</v>
      </c>
      <c r="Q304" s="314">
        <f t="shared" si="18"/>
        <v>4.2125000000000004</v>
      </c>
      <c r="R304" s="315" t="str">
        <f t="shared" si="16"/>
        <v>SI</v>
      </c>
      <c r="S304" s="316" t="str">
        <f t="shared" si="17"/>
        <v>Sin Riesgo</v>
      </c>
      <c r="T304" s="120"/>
    </row>
    <row r="305" spans="1:20" s="119" customFormat="1" ht="32.1" customHeight="1">
      <c r="A305" s="564" t="s">
        <v>212</v>
      </c>
      <c r="B305" s="601" t="s">
        <v>1075</v>
      </c>
      <c r="C305" s="674" t="s">
        <v>1089</v>
      </c>
      <c r="D305" s="329">
        <v>588</v>
      </c>
      <c r="E305" s="46"/>
      <c r="F305" s="46"/>
      <c r="G305" s="46"/>
      <c r="H305" s="46">
        <v>0</v>
      </c>
      <c r="I305" s="46">
        <v>0</v>
      </c>
      <c r="J305" s="46"/>
      <c r="K305" s="47"/>
      <c r="L305" s="47"/>
      <c r="M305" s="47"/>
      <c r="N305" s="47">
        <v>0</v>
      </c>
      <c r="O305" s="47"/>
      <c r="P305" s="47">
        <v>0</v>
      </c>
      <c r="Q305" s="314">
        <f t="shared" si="18"/>
        <v>0</v>
      </c>
      <c r="R305" s="315" t="str">
        <f t="shared" si="16"/>
        <v>SI</v>
      </c>
      <c r="S305" s="316" t="str">
        <f t="shared" si="17"/>
        <v>Sin Riesgo</v>
      </c>
      <c r="T305" s="120"/>
    </row>
    <row r="306" spans="1:20" s="119" customFormat="1" ht="32.1" customHeight="1">
      <c r="A306" s="564" t="s">
        <v>212</v>
      </c>
      <c r="B306" s="601" t="s">
        <v>1090</v>
      </c>
      <c r="C306" s="674" t="s">
        <v>1091</v>
      </c>
      <c r="D306" s="329">
        <v>92</v>
      </c>
      <c r="E306" s="46"/>
      <c r="F306" s="46"/>
      <c r="G306" s="46"/>
      <c r="H306" s="46"/>
      <c r="I306" s="46">
        <v>0</v>
      </c>
      <c r="J306" s="46"/>
      <c r="K306" s="47"/>
      <c r="L306" s="47">
        <v>16.850000000000001</v>
      </c>
      <c r="M306" s="47"/>
      <c r="N306" s="47"/>
      <c r="O306" s="47">
        <v>0</v>
      </c>
      <c r="P306" s="47">
        <v>0</v>
      </c>
      <c r="Q306" s="314">
        <f t="shared" si="18"/>
        <v>4.2125000000000004</v>
      </c>
      <c r="R306" s="315" t="str">
        <f t="shared" si="16"/>
        <v>SI</v>
      </c>
      <c r="S306" s="316" t="str">
        <f t="shared" si="17"/>
        <v>Sin Riesgo</v>
      </c>
      <c r="T306" s="120"/>
    </row>
    <row r="307" spans="1:20" s="119" customFormat="1" ht="32.1" customHeight="1">
      <c r="A307" s="564" t="s">
        <v>212</v>
      </c>
      <c r="B307" s="601" t="s">
        <v>1092</v>
      </c>
      <c r="C307" s="674" t="s">
        <v>1093</v>
      </c>
      <c r="D307" s="329">
        <v>65</v>
      </c>
      <c r="E307" s="46"/>
      <c r="F307" s="46"/>
      <c r="G307" s="46"/>
      <c r="H307" s="46"/>
      <c r="I307" s="46"/>
      <c r="J307" s="46"/>
      <c r="K307" s="47"/>
      <c r="L307" s="47"/>
      <c r="M307" s="47"/>
      <c r="N307" s="47">
        <v>0</v>
      </c>
      <c r="O307" s="47">
        <v>0</v>
      </c>
      <c r="P307" s="47">
        <v>0</v>
      </c>
      <c r="Q307" s="314">
        <f t="shared" si="18"/>
        <v>0</v>
      </c>
      <c r="R307" s="315" t="str">
        <f t="shared" si="16"/>
        <v>SI</v>
      </c>
      <c r="S307" s="316" t="str">
        <f t="shared" si="17"/>
        <v>Sin Riesgo</v>
      </c>
      <c r="T307" s="120"/>
    </row>
    <row r="308" spans="1:20" s="119" customFormat="1" ht="32.1" customHeight="1">
      <c r="A308" s="564" t="s">
        <v>212</v>
      </c>
      <c r="B308" s="601" t="s">
        <v>1062</v>
      </c>
      <c r="C308" s="674" t="s">
        <v>1094</v>
      </c>
      <c r="D308" s="329">
        <v>174</v>
      </c>
      <c r="E308" s="46"/>
      <c r="F308" s="46"/>
      <c r="G308" s="46"/>
      <c r="H308" s="46"/>
      <c r="I308" s="46"/>
      <c r="J308" s="46"/>
      <c r="K308" s="47"/>
      <c r="L308" s="47"/>
      <c r="M308" s="47"/>
      <c r="N308" s="47">
        <v>0</v>
      </c>
      <c r="O308" s="47">
        <v>0</v>
      </c>
      <c r="P308" s="47">
        <v>0</v>
      </c>
      <c r="Q308" s="314">
        <f t="shared" si="18"/>
        <v>0</v>
      </c>
      <c r="R308" s="315" t="str">
        <f t="shared" si="16"/>
        <v>SI</v>
      </c>
      <c r="S308" s="316" t="str">
        <f t="shared" si="17"/>
        <v>Sin Riesgo</v>
      </c>
      <c r="T308" s="120"/>
    </row>
    <row r="309" spans="1:20" s="119" customFormat="1" ht="32.1" customHeight="1">
      <c r="A309" s="564" t="s">
        <v>212</v>
      </c>
      <c r="B309" s="601" t="s">
        <v>1056</v>
      </c>
      <c r="C309" s="674" t="s">
        <v>1095</v>
      </c>
      <c r="D309" s="329">
        <v>609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314">
        <f t="shared" si="18"/>
        <v>0</v>
      </c>
      <c r="R309" s="315" t="str">
        <f t="shared" si="16"/>
        <v>SI</v>
      </c>
      <c r="S309" s="316" t="str">
        <f t="shared" si="17"/>
        <v>Sin Riesgo</v>
      </c>
      <c r="T309" s="120"/>
    </row>
    <row r="310" spans="1:20" s="119" customFormat="1" ht="32.1" customHeight="1">
      <c r="A310" s="564" t="s">
        <v>212</v>
      </c>
      <c r="B310" s="601" t="s">
        <v>1096</v>
      </c>
      <c r="C310" s="674" t="s">
        <v>1097</v>
      </c>
      <c r="D310" s="329">
        <v>360</v>
      </c>
      <c r="E310" s="46"/>
      <c r="F310" s="46">
        <v>0</v>
      </c>
      <c r="G310" s="46"/>
      <c r="H310" s="46"/>
      <c r="I310" s="46">
        <v>0</v>
      </c>
      <c r="J310" s="46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/>
      <c r="Q310" s="314">
        <f t="shared" si="18"/>
        <v>0</v>
      </c>
      <c r="R310" s="315" t="str">
        <f t="shared" si="16"/>
        <v>SI</v>
      </c>
      <c r="S310" s="316" t="str">
        <f t="shared" si="17"/>
        <v>Sin Riesgo</v>
      </c>
      <c r="T310" s="120"/>
    </row>
    <row r="311" spans="1:20" s="119" customFormat="1" ht="32.1" customHeight="1">
      <c r="A311" s="564" t="s">
        <v>212</v>
      </c>
      <c r="B311" s="601" t="s">
        <v>1098</v>
      </c>
      <c r="C311" s="674" t="s">
        <v>1099</v>
      </c>
      <c r="D311" s="329">
        <v>153</v>
      </c>
      <c r="E311" s="46"/>
      <c r="F311" s="46"/>
      <c r="G311" s="46"/>
      <c r="H311" s="46"/>
      <c r="I311" s="46"/>
      <c r="J311" s="46"/>
      <c r="K311" s="47"/>
      <c r="L311" s="47"/>
      <c r="M311" s="47"/>
      <c r="N311" s="47">
        <v>0</v>
      </c>
      <c r="O311" s="47">
        <v>0</v>
      </c>
      <c r="P311" s="47">
        <v>0</v>
      </c>
      <c r="Q311" s="314">
        <f t="shared" si="18"/>
        <v>0</v>
      </c>
      <c r="R311" s="315" t="str">
        <f t="shared" si="16"/>
        <v>SI</v>
      </c>
      <c r="S311" s="316" t="str">
        <f t="shared" si="17"/>
        <v>Sin Riesgo</v>
      </c>
      <c r="T311" s="120"/>
    </row>
    <row r="312" spans="1:20" s="119" customFormat="1" ht="32.1" customHeight="1">
      <c r="A312" s="564" t="s">
        <v>212</v>
      </c>
      <c r="B312" s="601" t="s">
        <v>1100</v>
      </c>
      <c r="C312" s="674" t="s">
        <v>1101</v>
      </c>
      <c r="D312" s="329">
        <v>348</v>
      </c>
      <c r="E312" s="46">
        <v>0</v>
      </c>
      <c r="F312" s="46"/>
      <c r="G312" s="46"/>
      <c r="H312" s="46"/>
      <c r="I312" s="46"/>
      <c r="J312" s="46"/>
      <c r="K312" s="47"/>
      <c r="L312" s="47"/>
      <c r="M312" s="47"/>
      <c r="N312" s="47">
        <v>19.385000000000002</v>
      </c>
      <c r="O312" s="47"/>
      <c r="P312" s="47"/>
      <c r="Q312" s="314">
        <f t="shared" si="18"/>
        <v>9.6925000000000008</v>
      </c>
      <c r="R312" s="315" t="str">
        <f t="shared" si="16"/>
        <v>NO</v>
      </c>
      <c r="S312" s="316" t="str">
        <f t="shared" si="17"/>
        <v>Bajo</v>
      </c>
      <c r="T312" s="120"/>
    </row>
    <row r="313" spans="1:20" s="119" customFormat="1" ht="32.1" customHeight="1">
      <c r="A313" s="564" t="s">
        <v>212</v>
      </c>
      <c r="B313" s="601" t="s">
        <v>1102</v>
      </c>
      <c r="C313" s="674" t="s">
        <v>1103</v>
      </c>
      <c r="D313" s="329">
        <v>99</v>
      </c>
      <c r="E313" s="46"/>
      <c r="F313" s="46">
        <v>0</v>
      </c>
      <c r="G313" s="46"/>
      <c r="H313" s="46"/>
      <c r="I313" s="46"/>
      <c r="J313" s="46"/>
      <c r="K313" s="47"/>
      <c r="L313" s="47"/>
      <c r="M313" s="47"/>
      <c r="N313" s="47"/>
      <c r="O313" s="47"/>
      <c r="P313" s="47"/>
      <c r="Q313" s="314">
        <f t="shared" si="18"/>
        <v>0</v>
      </c>
      <c r="R313" s="315" t="str">
        <f t="shared" si="16"/>
        <v>SI</v>
      </c>
      <c r="S313" s="316" t="str">
        <f t="shared" si="17"/>
        <v>Sin Riesgo</v>
      </c>
      <c r="T313" s="120"/>
    </row>
    <row r="314" spans="1:20" s="119" customFormat="1" ht="32.1" customHeight="1">
      <c r="A314" s="564" t="s">
        <v>212</v>
      </c>
      <c r="B314" s="601" t="s">
        <v>1104</v>
      </c>
      <c r="C314" s="674" t="s">
        <v>1105</v>
      </c>
      <c r="D314" s="329">
        <v>46</v>
      </c>
      <c r="E314" s="46"/>
      <c r="F314" s="46"/>
      <c r="G314" s="46"/>
      <c r="H314" s="46"/>
      <c r="I314" s="46"/>
      <c r="J314" s="46"/>
      <c r="K314" s="47"/>
      <c r="L314" s="47"/>
      <c r="M314" s="47"/>
      <c r="N314" s="47"/>
      <c r="O314" s="47">
        <v>27.1</v>
      </c>
      <c r="P314" s="47"/>
      <c r="Q314" s="314">
        <f t="shared" si="18"/>
        <v>27.1</v>
      </c>
      <c r="R314" s="315" t="str">
        <f t="shared" si="16"/>
        <v>NO</v>
      </c>
      <c r="S314" s="316" t="str">
        <f t="shared" si="17"/>
        <v>Medio</v>
      </c>
      <c r="T314" s="120"/>
    </row>
    <row r="315" spans="1:20" s="119" customFormat="1" ht="32.1" customHeight="1">
      <c r="A315" s="564" t="s">
        <v>212</v>
      </c>
      <c r="B315" s="601" t="s">
        <v>1106</v>
      </c>
      <c r="C315" s="674" t="s">
        <v>1107</v>
      </c>
      <c r="D315" s="329">
        <v>103</v>
      </c>
      <c r="E315" s="46"/>
      <c r="F315" s="46"/>
      <c r="G315" s="46"/>
      <c r="H315" s="46"/>
      <c r="I315" s="46">
        <v>0</v>
      </c>
      <c r="J315" s="46"/>
      <c r="K315" s="47"/>
      <c r="L315" s="47"/>
      <c r="M315" s="47"/>
      <c r="N315" s="47"/>
      <c r="O315" s="47"/>
      <c r="P315" s="47">
        <v>0</v>
      </c>
      <c r="Q315" s="314">
        <f t="shared" si="18"/>
        <v>0</v>
      </c>
      <c r="R315" s="315" t="str">
        <f t="shared" si="16"/>
        <v>SI</v>
      </c>
      <c r="S315" s="316" t="str">
        <f t="shared" si="17"/>
        <v>Sin Riesgo</v>
      </c>
      <c r="T315" s="120"/>
    </row>
    <row r="316" spans="1:20" s="119" customFormat="1" ht="32.1" customHeight="1">
      <c r="A316" s="564" t="s">
        <v>212</v>
      </c>
      <c r="B316" s="601" t="s">
        <v>1108</v>
      </c>
      <c r="C316" s="674" t="s">
        <v>1109</v>
      </c>
      <c r="D316" s="329">
        <v>65</v>
      </c>
      <c r="E316" s="46"/>
      <c r="F316" s="46"/>
      <c r="G316" s="46"/>
      <c r="H316" s="46"/>
      <c r="I316" s="46"/>
      <c r="J316" s="46"/>
      <c r="K316" s="47"/>
      <c r="L316" s="47"/>
      <c r="M316" s="47"/>
      <c r="N316" s="47"/>
      <c r="O316" s="47"/>
      <c r="P316" s="47">
        <v>19.350000000000001</v>
      </c>
      <c r="Q316" s="314">
        <f t="shared" si="18"/>
        <v>19.350000000000001</v>
      </c>
      <c r="R316" s="315" t="str">
        <f t="shared" si="16"/>
        <v>NO</v>
      </c>
      <c r="S316" s="316" t="str">
        <f t="shared" si="17"/>
        <v>Medio</v>
      </c>
      <c r="T316" s="120"/>
    </row>
    <row r="317" spans="1:20" s="119" customFormat="1" ht="32.1" customHeight="1">
      <c r="A317" s="564" t="s">
        <v>212</v>
      </c>
      <c r="B317" s="601" t="s">
        <v>1110</v>
      </c>
      <c r="C317" s="674" t="s">
        <v>1111</v>
      </c>
      <c r="D317" s="329">
        <v>74</v>
      </c>
      <c r="E317" s="46"/>
      <c r="F317" s="46"/>
      <c r="G317" s="46"/>
      <c r="H317" s="46"/>
      <c r="I317" s="46"/>
      <c r="J317" s="46"/>
      <c r="K317" s="47"/>
      <c r="L317" s="47"/>
      <c r="M317" s="47"/>
      <c r="N317" s="47"/>
      <c r="O317" s="47">
        <v>19.350000000000001</v>
      </c>
      <c r="P317" s="47"/>
      <c r="Q317" s="314">
        <f t="shared" si="18"/>
        <v>19.350000000000001</v>
      </c>
      <c r="R317" s="315" t="str">
        <f t="shared" ref="R317:R367" si="19">IF(Q317&lt;5,"SI","NO")</f>
        <v>NO</v>
      </c>
      <c r="S317" s="316" t="str">
        <f t="shared" si="17"/>
        <v>Medio</v>
      </c>
      <c r="T317" s="120"/>
    </row>
    <row r="318" spans="1:20" s="119" customFormat="1" ht="32.1" customHeight="1">
      <c r="A318" s="564" t="s">
        <v>212</v>
      </c>
      <c r="B318" s="601" t="s">
        <v>95</v>
      </c>
      <c r="C318" s="674" t="s">
        <v>1112</v>
      </c>
      <c r="D318" s="329">
        <v>163</v>
      </c>
      <c r="E318" s="46">
        <v>0</v>
      </c>
      <c r="F318" s="46">
        <v>0</v>
      </c>
      <c r="G318" s="46">
        <v>0</v>
      </c>
      <c r="H318" s="46">
        <v>27.1</v>
      </c>
      <c r="I318" s="46"/>
      <c r="J318" s="46">
        <v>0</v>
      </c>
      <c r="K318" s="47">
        <v>27.1</v>
      </c>
      <c r="L318" s="47">
        <v>0</v>
      </c>
      <c r="M318" s="47">
        <v>26.67</v>
      </c>
      <c r="N318" s="47">
        <v>19.350000000000001</v>
      </c>
      <c r="O318" s="47">
        <v>19.350000000000001</v>
      </c>
      <c r="P318" s="47">
        <v>0</v>
      </c>
      <c r="Q318" s="314">
        <f t="shared" si="18"/>
        <v>10.87</v>
      </c>
      <c r="R318" s="315" t="str">
        <f t="shared" si="19"/>
        <v>NO</v>
      </c>
      <c r="S318" s="316" t="str">
        <f t="shared" si="17"/>
        <v>Bajo</v>
      </c>
      <c r="T318" s="120"/>
    </row>
    <row r="319" spans="1:20" s="119" customFormat="1" ht="32.1" customHeight="1">
      <c r="A319" s="564" t="s">
        <v>212</v>
      </c>
      <c r="B319" s="601" t="s">
        <v>1114</v>
      </c>
      <c r="C319" s="674" t="s">
        <v>1115</v>
      </c>
      <c r="D319" s="329">
        <v>65</v>
      </c>
      <c r="E319" s="46"/>
      <c r="F319" s="46"/>
      <c r="G319" s="46"/>
      <c r="H319" s="46"/>
      <c r="I319" s="46"/>
      <c r="J319" s="46"/>
      <c r="K319" s="47"/>
      <c r="L319" s="47"/>
      <c r="M319" s="47"/>
      <c r="N319" s="47"/>
      <c r="O319" s="47">
        <v>0</v>
      </c>
      <c r="P319" s="47">
        <v>0</v>
      </c>
      <c r="Q319" s="314">
        <f t="shared" si="18"/>
        <v>0</v>
      </c>
      <c r="R319" s="315" t="str">
        <f t="shared" si="19"/>
        <v>SI</v>
      </c>
      <c r="S319" s="316" t="str">
        <f t="shared" si="17"/>
        <v>Sin Riesgo</v>
      </c>
      <c r="T319" s="120"/>
    </row>
    <row r="320" spans="1:20" s="119" customFormat="1" ht="32.1" customHeight="1">
      <c r="A320" s="564" t="s">
        <v>212</v>
      </c>
      <c r="B320" s="601" t="s">
        <v>1117</v>
      </c>
      <c r="C320" s="674" t="s">
        <v>1118</v>
      </c>
      <c r="D320" s="329">
        <v>134</v>
      </c>
      <c r="E320" s="46"/>
      <c r="F320" s="46"/>
      <c r="G320" s="46"/>
      <c r="H320" s="46"/>
      <c r="I320" s="46"/>
      <c r="J320" s="46"/>
      <c r="K320" s="47"/>
      <c r="L320" s="47"/>
      <c r="M320" s="47"/>
      <c r="N320" s="47">
        <v>27.1</v>
      </c>
      <c r="O320" s="47">
        <v>0</v>
      </c>
      <c r="P320" s="47">
        <v>9.6750000000000007</v>
      </c>
      <c r="Q320" s="314">
        <f t="shared" si="18"/>
        <v>12.258333333333335</v>
      </c>
      <c r="R320" s="315" t="str">
        <f t="shared" si="19"/>
        <v>NO</v>
      </c>
      <c r="S320" s="316" t="str">
        <f t="shared" si="17"/>
        <v>Bajo</v>
      </c>
      <c r="T320" s="120"/>
    </row>
    <row r="321" spans="1:20" s="119" customFormat="1" ht="32.1" customHeight="1">
      <c r="A321" s="564" t="s">
        <v>212</v>
      </c>
      <c r="B321" s="601" t="s">
        <v>1119</v>
      </c>
      <c r="C321" s="674" t="s">
        <v>1120</v>
      </c>
      <c r="D321" s="329">
        <v>180</v>
      </c>
      <c r="E321" s="46"/>
      <c r="F321" s="46"/>
      <c r="G321" s="46"/>
      <c r="H321" s="46"/>
      <c r="I321" s="46"/>
      <c r="J321" s="46"/>
      <c r="K321" s="47"/>
      <c r="L321" s="47"/>
      <c r="M321" s="47"/>
      <c r="N321" s="47">
        <v>0</v>
      </c>
      <c r="O321" s="47">
        <v>0</v>
      </c>
      <c r="P321" s="47">
        <v>0</v>
      </c>
      <c r="Q321" s="314">
        <f t="shared" si="18"/>
        <v>0</v>
      </c>
      <c r="R321" s="315" t="str">
        <f t="shared" si="19"/>
        <v>SI</v>
      </c>
      <c r="S321" s="316" t="str">
        <f t="shared" si="17"/>
        <v>Sin Riesgo</v>
      </c>
      <c r="T321" s="120"/>
    </row>
    <row r="322" spans="1:20" s="119" customFormat="1" ht="32.1" customHeight="1">
      <c r="A322" s="564" t="s">
        <v>212</v>
      </c>
      <c r="B322" s="601" t="s">
        <v>1102</v>
      </c>
      <c r="C322" s="674" t="s">
        <v>1121</v>
      </c>
      <c r="D322" s="329">
        <v>119</v>
      </c>
      <c r="E322" s="46"/>
      <c r="F322" s="46"/>
      <c r="G322" s="46"/>
      <c r="H322" s="46"/>
      <c r="I322" s="46"/>
      <c r="J322" s="46">
        <v>0</v>
      </c>
      <c r="K322" s="47"/>
      <c r="L322" s="47"/>
      <c r="M322" s="47">
        <v>19.350000000000001</v>
      </c>
      <c r="N322" s="47">
        <v>19.350000000000001</v>
      </c>
      <c r="O322" s="47"/>
      <c r="P322" s="47">
        <v>0</v>
      </c>
      <c r="Q322" s="314">
        <f t="shared" si="18"/>
        <v>9.6750000000000007</v>
      </c>
      <c r="R322" s="315" t="str">
        <f t="shared" si="19"/>
        <v>NO</v>
      </c>
      <c r="S322" s="316" t="str">
        <f t="shared" si="17"/>
        <v>Bajo</v>
      </c>
      <c r="T322" s="120"/>
    </row>
    <row r="323" spans="1:20" s="119" customFormat="1" ht="32.1" customHeight="1">
      <c r="A323" s="564" t="s">
        <v>212</v>
      </c>
      <c r="B323" s="601" t="s">
        <v>1102</v>
      </c>
      <c r="C323" s="674" t="s">
        <v>1122</v>
      </c>
      <c r="D323" s="329">
        <v>142</v>
      </c>
      <c r="E323" s="46"/>
      <c r="F323" s="46"/>
      <c r="G323" s="46"/>
      <c r="H323" s="46"/>
      <c r="I323" s="46"/>
      <c r="J323" s="46"/>
      <c r="K323" s="47"/>
      <c r="L323" s="47"/>
      <c r="M323" s="47"/>
      <c r="N323" s="47">
        <v>0</v>
      </c>
      <c r="O323" s="47">
        <v>0</v>
      </c>
      <c r="P323" s="47">
        <v>0</v>
      </c>
      <c r="Q323" s="314">
        <f t="shared" si="18"/>
        <v>0</v>
      </c>
      <c r="R323" s="315" t="str">
        <f t="shared" si="19"/>
        <v>SI</v>
      </c>
      <c r="S323" s="316" t="str">
        <f t="shared" ref="S323:S378" si="20">IF(Q323&lt;5,"Sin Riesgo",IF(Q323 &lt;=14,"Bajo",IF(Q323&lt;=35,"Medio",IF(Q323&lt;=80,"Alto","Inviable Sanitariamente"))))</f>
        <v>Sin Riesgo</v>
      </c>
      <c r="T323" s="120"/>
    </row>
    <row r="324" spans="1:20" s="119" customFormat="1" ht="32.1" customHeight="1">
      <c r="A324" s="564" t="s">
        <v>212</v>
      </c>
      <c r="B324" s="601" t="s">
        <v>1123</v>
      </c>
      <c r="C324" s="674" t="s">
        <v>1124</v>
      </c>
      <c r="D324" s="329">
        <v>81</v>
      </c>
      <c r="E324" s="46"/>
      <c r="F324" s="46"/>
      <c r="G324" s="46"/>
      <c r="H324" s="46"/>
      <c r="I324" s="46"/>
      <c r="J324" s="46"/>
      <c r="K324" s="47"/>
      <c r="L324" s="47"/>
      <c r="M324" s="47"/>
      <c r="N324" s="47"/>
      <c r="O324" s="47">
        <v>0</v>
      </c>
      <c r="P324" s="47">
        <v>0</v>
      </c>
      <c r="Q324" s="314">
        <f t="shared" si="18"/>
        <v>0</v>
      </c>
      <c r="R324" s="315" t="str">
        <f t="shared" si="19"/>
        <v>SI</v>
      </c>
      <c r="S324" s="316" t="str">
        <f t="shared" si="20"/>
        <v>Sin Riesgo</v>
      </c>
      <c r="T324" s="120"/>
    </row>
    <row r="325" spans="1:20" s="119" customFormat="1" ht="32.1" customHeight="1">
      <c r="A325" s="564" t="s">
        <v>212</v>
      </c>
      <c r="B325" s="601" t="s">
        <v>1125</v>
      </c>
      <c r="C325" s="674" t="s">
        <v>1126</v>
      </c>
      <c r="D325" s="329">
        <v>140</v>
      </c>
      <c r="E325" s="46">
        <v>0</v>
      </c>
      <c r="F325" s="46">
        <v>0</v>
      </c>
      <c r="G325" s="46"/>
      <c r="H325" s="46"/>
      <c r="I325" s="46">
        <v>19.350000000000001</v>
      </c>
      <c r="J325" s="46">
        <v>27.1</v>
      </c>
      <c r="K325" s="47"/>
      <c r="L325" s="47"/>
      <c r="M325" s="47"/>
      <c r="N325" s="47">
        <v>21.1</v>
      </c>
      <c r="O325" s="47">
        <v>19.350000000000001</v>
      </c>
      <c r="P325" s="47">
        <v>7.6749999999999998</v>
      </c>
      <c r="Q325" s="314">
        <f t="shared" si="18"/>
        <v>13.510714285714286</v>
      </c>
      <c r="R325" s="315" t="str">
        <f t="shared" si="19"/>
        <v>NO</v>
      </c>
      <c r="S325" s="316" t="str">
        <f t="shared" si="20"/>
        <v>Bajo</v>
      </c>
      <c r="T325" s="120"/>
    </row>
    <row r="326" spans="1:20" s="119" customFormat="1" ht="32.1" customHeight="1">
      <c r="A326" s="564" t="s">
        <v>212</v>
      </c>
      <c r="B326" s="601" t="s">
        <v>1127</v>
      </c>
      <c r="C326" s="674" t="s">
        <v>1128</v>
      </c>
      <c r="D326" s="329">
        <v>139</v>
      </c>
      <c r="E326" s="46">
        <v>0</v>
      </c>
      <c r="F326" s="46">
        <v>0</v>
      </c>
      <c r="G326" s="46"/>
      <c r="H326" s="46"/>
      <c r="I326" s="46">
        <v>19.350000000000001</v>
      </c>
      <c r="J326" s="46"/>
      <c r="K326" s="47"/>
      <c r="L326" s="47"/>
      <c r="M326" s="47"/>
      <c r="N326" s="47">
        <v>19.350000000000001</v>
      </c>
      <c r="O326" s="47">
        <v>9.6750000000000007</v>
      </c>
      <c r="P326" s="47">
        <v>7.6749999999999998</v>
      </c>
      <c r="Q326" s="314">
        <f t="shared" si="18"/>
        <v>9.3416666666666668</v>
      </c>
      <c r="R326" s="315" t="str">
        <f t="shared" si="19"/>
        <v>NO</v>
      </c>
      <c r="S326" s="316" t="str">
        <f t="shared" si="20"/>
        <v>Bajo</v>
      </c>
      <c r="T326" s="120"/>
    </row>
    <row r="327" spans="1:20" s="119" customFormat="1" ht="32.1" customHeight="1">
      <c r="A327" s="564" t="s">
        <v>212</v>
      </c>
      <c r="B327" s="601" t="s">
        <v>1130</v>
      </c>
      <c r="C327" s="674" t="s">
        <v>1131</v>
      </c>
      <c r="D327" s="329">
        <v>154</v>
      </c>
      <c r="E327" s="46">
        <v>0</v>
      </c>
      <c r="F327" s="46"/>
      <c r="G327" s="46"/>
      <c r="H327" s="46"/>
      <c r="I327" s="46"/>
      <c r="J327" s="46"/>
      <c r="K327" s="47"/>
      <c r="L327" s="47"/>
      <c r="M327" s="47"/>
      <c r="N327" s="47">
        <v>0</v>
      </c>
      <c r="O327" s="47">
        <v>0</v>
      </c>
      <c r="P327" s="47">
        <v>0</v>
      </c>
      <c r="Q327" s="314">
        <f t="shared" ref="Q327:Q384" si="21">AVERAGE(E327:P327)</f>
        <v>0</v>
      </c>
      <c r="R327" s="315" t="str">
        <f t="shared" si="19"/>
        <v>SI</v>
      </c>
      <c r="S327" s="316" t="str">
        <f t="shared" si="20"/>
        <v>Sin Riesgo</v>
      </c>
      <c r="T327" s="120"/>
    </row>
    <row r="328" spans="1:20" s="119" customFormat="1" ht="32.1" customHeight="1">
      <c r="A328" s="564" t="s">
        <v>212</v>
      </c>
      <c r="B328" s="601" t="s">
        <v>1132</v>
      </c>
      <c r="C328" s="674" t="s">
        <v>1133</v>
      </c>
      <c r="D328" s="329">
        <v>43</v>
      </c>
      <c r="E328" s="46"/>
      <c r="F328" s="46"/>
      <c r="G328" s="46"/>
      <c r="H328" s="46">
        <v>19.350000000000001</v>
      </c>
      <c r="I328" s="46"/>
      <c r="J328" s="46">
        <v>0</v>
      </c>
      <c r="K328" s="47"/>
      <c r="L328" s="47"/>
      <c r="M328" s="47"/>
      <c r="N328" s="47"/>
      <c r="O328" s="47">
        <v>0</v>
      </c>
      <c r="P328" s="47">
        <v>0</v>
      </c>
      <c r="Q328" s="314">
        <f t="shared" si="21"/>
        <v>4.8375000000000004</v>
      </c>
      <c r="R328" s="315" t="str">
        <f t="shared" si="19"/>
        <v>SI</v>
      </c>
      <c r="S328" s="316" t="str">
        <f t="shared" si="20"/>
        <v>Sin Riesgo</v>
      </c>
      <c r="T328" s="120"/>
    </row>
    <row r="329" spans="1:20" s="119" customFormat="1" ht="32.1" customHeight="1">
      <c r="A329" s="564" t="s">
        <v>213</v>
      </c>
      <c r="B329" s="586" t="s">
        <v>596</v>
      </c>
      <c r="C329" s="675" t="s">
        <v>1134</v>
      </c>
      <c r="D329" s="418">
        <v>53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>
        <v>38.71</v>
      </c>
      <c r="Q329" s="314">
        <f t="shared" si="21"/>
        <v>38.71</v>
      </c>
      <c r="R329" s="315" t="str">
        <f t="shared" si="19"/>
        <v>NO</v>
      </c>
      <c r="S329" s="316" t="str">
        <f t="shared" si="20"/>
        <v>Alto</v>
      </c>
      <c r="T329" s="120"/>
    </row>
    <row r="330" spans="1:20" s="119" customFormat="1" ht="32.1" customHeight="1">
      <c r="A330" s="564" t="s">
        <v>213</v>
      </c>
      <c r="B330" s="601" t="s">
        <v>1135</v>
      </c>
      <c r="C330" s="674" t="s">
        <v>1136</v>
      </c>
      <c r="D330" s="304">
        <v>301</v>
      </c>
      <c r="E330" s="46"/>
      <c r="F330" s="46"/>
      <c r="G330" s="46"/>
      <c r="H330" s="46"/>
      <c r="I330" s="46"/>
      <c r="J330" s="46">
        <v>0</v>
      </c>
      <c r="K330" s="46"/>
      <c r="L330" s="46"/>
      <c r="M330" s="46"/>
      <c r="N330" s="46"/>
      <c r="O330" s="46"/>
      <c r="P330" s="46"/>
      <c r="Q330" s="314">
        <f t="shared" si="21"/>
        <v>0</v>
      </c>
      <c r="R330" s="315" t="str">
        <f t="shared" si="19"/>
        <v>SI</v>
      </c>
      <c r="S330" s="316" t="str">
        <f t="shared" si="20"/>
        <v>Sin Riesgo</v>
      </c>
      <c r="T330" s="120"/>
    </row>
    <row r="331" spans="1:20" s="119" customFormat="1" ht="32.1" customHeight="1">
      <c r="A331" s="564" t="s">
        <v>213</v>
      </c>
      <c r="B331" s="586" t="s">
        <v>5</v>
      </c>
      <c r="C331" s="675" t="s">
        <v>1137</v>
      </c>
      <c r="D331" s="418">
        <v>456</v>
      </c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>
        <v>19.350000000000001</v>
      </c>
      <c r="Q331" s="314">
        <f t="shared" si="21"/>
        <v>19.350000000000001</v>
      </c>
      <c r="R331" s="315" t="str">
        <f t="shared" si="19"/>
        <v>NO</v>
      </c>
      <c r="S331" s="316" t="str">
        <f t="shared" si="20"/>
        <v>Medio</v>
      </c>
      <c r="T331" s="120"/>
    </row>
    <row r="332" spans="1:20" s="119" customFormat="1" ht="32.1" customHeight="1">
      <c r="A332" s="564" t="s">
        <v>213</v>
      </c>
      <c r="B332" s="586" t="s">
        <v>49</v>
      </c>
      <c r="C332" s="675" t="s">
        <v>1138</v>
      </c>
      <c r="D332" s="418">
        <v>176</v>
      </c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>
        <v>38.71</v>
      </c>
      <c r="Q332" s="314">
        <f>AVERAGE(E332:P332)</f>
        <v>38.71</v>
      </c>
      <c r="R332" s="315" t="str">
        <f>IF(Q332&lt;5,"SI","NO")</f>
        <v>NO</v>
      </c>
      <c r="S332" s="316" t="str">
        <f>IF(Q332&lt;5,"Sin Riesgo",IF(Q332 &lt;=14,"Bajo",IF(Q332&lt;=35,"Medio",IF(Q332&lt;=80,"Alto","Inviable Sanitariamente"))))</f>
        <v>Alto</v>
      </c>
      <c r="T332" s="290"/>
    </row>
    <row r="333" spans="1:20" s="119" customFormat="1" ht="32.1" customHeight="1">
      <c r="A333" s="564" t="s">
        <v>213</v>
      </c>
      <c r="B333" s="601" t="s">
        <v>2662</v>
      </c>
      <c r="C333" s="674" t="s">
        <v>4060</v>
      </c>
      <c r="D333" s="304">
        <v>67</v>
      </c>
      <c r="E333" s="46"/>
      <c r="F333" s="46"/>
      <c r="G333" s="46"/>
      <c r="H333" s="46"/>
      <c r="I333" s="46">
        <v>0</v>
      </c>
      <c r="J333" s="46"/>
      <c r="K333" s="46"/>
      <c r="L333" s="46"/>
      <c r="M333" s="46"/>
      <c r="N333" s="46"/>
      <c r="O333" s="46"/>
      <c r="P333" s="46"/>
      <c r="Q333" s="314">
        <f>AVERAGE(E333:P333)</f>
        <v>0</v>
      </c>
      <c r="R333" s="315" t="str">
        <f>IF(Q333&lt;5,"SI","NO")</f>
        <v>SI</v>
      </c>
      <c r="S333" s="316" t="str">
        <f>IF(Q333&lt;5,"Sin Riesgo",IF(Q333 &lt;=14,"Bajo",IF(Q333&lt;=35,"Medio",IF(Q333&lt;=80,"Alto","Inviable Sanitariamente"))))</f>
        <v>Sin Riesgo</v>
      </c>
      <c r="T333" s="290"/>
    </row>
    <row r="334" spans="1:20" s="119" customFormat="1" ht="32.1" customHeight="1">
      <c r="A334" s="564" t="s">
        <v>213</v>
      </c>
      <c r="B334" s="601" t="s">
        <v>59</v>
      </c>
      <c r="C334" s="674" t="s">
        <v>4061</v>
      </c>
      <c r="D334" s="304">
        <v>120</v>
      </c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314"/>
      <c r="R334" s="315"/>
      <c r="S334" s="316"/>
      <c r="T334" s="120"/>
    </row>
    <row r="335" spans="1:20" s="119" customFormat="1" ht="32.1" customHeight="1">
      <c r="A335" s="564" t="s">
        <v>44</v>
      </c>
      <c r="B335" s="586" t="s">
        <v>1139</v>
      </c>
      <c r="C335" s="675" t="s">
        <v>4420</v>
      </c>
      <c r="D335" s="681">
        <v>66</v>
      </c>
      <c r="E335" s="682"/>
      <c r="F335" s="682"/>
      <c r="G335" s="682"/>
      <c r="H335" s="682"/>
      <c r="I335" s="682"/>
      <c r="J335" s="682"/>
      <c r="K335" s="682"/>
      <c r="L335" s="682"/>
      <c r="M335" s="682"/>
      <c r="N335" s="682"/>
      <c r="O335" s="682"/>
      <c r="P335" s="682">
        <v>0</v>
      </c>
      <c r="Q335" s="314">
        <f t="shared" si="21"/>
        <v>0</v>
      </c>
      <c r="R335" s="315" t="str">
        <f t="shared" si="19"/>
        <v>SI</v>
      </c>
      <c r="S335" s="316" t="str">
        <f t="shared" si="20"/>
        <v>Sin Riesgo</v>
      </c>
      <c r="T335" s="120"/>
    </row>
    <row r="336" spans="1:20" s="119" customFormat="1" ht="32.1" customHeight="1">
      <c r="A336" s="564" t="s">
        <v>44</v>
      </c>
      <c r="B336" s="601" t="s">
        <v>1139</v>
      </c>
      <c r="C336" s="674" t="s">
        <v>1139</v>
      </c>
      <c r="D336" s="304">
        <v>58</v>
      </c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314"/>
      <c r="R336" s="315"/>
      <c r="S336" s="316"/>
      <c r="T336" s="120"/>
    </row>
    <row r="337" spans="1:20" s="119" customFormat="1" ht="32.1" customHeight="1">
      <c r="A337" s="404" t="s">
        <v>44</v>
      </c>
      <c r="B337" s="340" t="s">
        <v>1140</v>
      </c>
      <c r="C337" s="379" t="s">
        <v>4421</v>
      </c>
      <c r="D337" s="681">
        <v>50</v>
      </c>
      <c r="E337" s="682"/>
      <c r="F337" s="682"/>
      <c r="G337" s="682"/>
      <c r="H337" s="682"/>
      <c r="I337" s="682"/>
      <c r="J337" s="682"/>
      <c r="K337" s="682"/>
      <c r="L337" s="682"/>
      <c r="M337" s="682"/>
      <c r="N337" s="682"/>
      <c r="O337" s="682"/>
      <c r="P337" s="682">
        <v>0</v>
      </c>
      <c r="Q337" s="314">
        <f t="shared" si="21"/>
        <v>0</v>
      </c>
      <c r="R337" s="315" t="str">
        <f t="shared" si="19"/>
        <v>SI</v>
      </c>
      <c r="S337" s="316" t="str">
        <f t="shared" si="20"/>
        <v>Sin Riesgo</v>
      </c>
      <c r="T337" s="120"/>
    </row>
    <row r="338" spans="1:20" s="119" customFormat="1" ht="32.1" customHeight="1">
      <c r="A338" s="404" t="s">
        <v>44</v>
      </c>
      <c r="B338" s="340" t="s">
        <v>1141</v>
      </c>
      <c r="C338" s="379" t="s">
        <v>4422</v>
      </c>
      <c r="D338" s="681">
        <v>30</v>
      </c>
      <c r="E338" s="682"/>
      <c r="F338" s="682"/>
      <c r="G338" s="682"/>
      <c r="H338" s="682"/>
      <c r="I338" s="682"/>
      <c r="J338" s="682"/>
      <c r="K338" s="682"/>
      <c r="L338" s="682"/>
      <c r="M338" s="682"/>
      <c r="N338" s="682"/>
      <c r="O338" s="682">
        <v>56.33</v>
      </c>
      <c r="P338" s="682"/>
      <c r="Q338" s="314">
        <f t="shared" si="21"/>
        <v>56.33</v>
      </c>
      <c r="R338" s="315" t="str">
        <f t="shared" si="19"/>
        <v>NO</v>
      </c>
      <c r="S338" s="316" t="str">
        <f t="shared" si="20"/>
        <v>Alto</v>
      </c>
      <c r="T338" s="120"/>
    </row>
    <row r="339" spans="1:20" s="119" customFormat="1" ht="32.1" customHeight="1">
      <c r="A339" s="404" t="s">
        <v>44</v>
      </c>
      <c r="B339" s="340" t="s">
        <v>1142</v>
      </c>
      <c r="C339" s="379" t="s">
        <v>4423</v>
      </c>
      <c r="D339" s="681">
        <v>25</v>
      </c>
      <c r="E339" s="682"/>
      <c r="F339" s="682"/>
      <c r="G339" s="682"/>
      <c r="H339" s="682"/>
      <c r="I339" s="682"/>
      <c r="J339" s="682"/>
      <c r="K339" s="682"/>
      <c r="L339" s="682"/>
      <c r="M339" s="682"/>
      <c r="N339" s="682"/>
      <c r="O339" s="682">
        <v>56.33</v>
      </c>
      <c r="P339" s="682"/>
      <c r="Q339" s="314">
        <f t="shared" si="21"/>
        <v>56.33</v>
      </c>
      <c r="R339" s="315" t="str">
        <f t="shared" si="19"/>
        <v>NO</v>
      </c>
      <c r="S339" s="316" t="str">
        <f t="shared" si="20"/>
        <v>Alto</v>
      </c>
      <c r="T339" s="120"/>
    </row>
    <row r="340" spans="1:20" s="119" customFormat="1" ht="32.1" customHeight="1">
      <c r="A340" s="404" t="s">
        <v>44</v>
      </c>
      <c r="B340" s="340" t="s">
        <v>1143</v>
      </c>
      <c r="C340" s="379" t="s">
        <v>4424</v>
      </c>
      <c r="D340" s="681">
        <v>82</v>
      </c>
      <c r="E340" s="682"/>
      <c r="F340" s="682"/>
      <c r="G340" s="682"/>
      <c r="H340" s="682"/>
      <c r="I340" s="682"/>
      <c r="J340" s="682"/>
      <c r="K340" s="682"/>
      <c r="L340" s="682"/>
      <c r="M340" s="682"/>
      <c r="N340" s="682"/>
      <c r="O340" s="682"/>
      <c r="P340" s="682">
        <v>0</v>
      </c>
      <c r="Q340" s="314">
        <f t="shared" si="21"/>
        <v>0</v>
      </c>
      <c r="R340" s="315" t="str">
        <f t="shared" si="19"/>
        <v>SI</v>
      </c>
      <c r="S340" s="316" t="str">
        <f t="shared" si="20"/>
        <v>Sin Riesgo</v>
      </c>
      <c r="T340" s="120"/>
    </row>
    <row r="341" spans="1:20" s="119" customFormat="1" ht="32.1" customHeight="1">
      <c r="A341" s="404" t="s">
        <v>44</v>
      </c>
      <c r="B341" s="340" t="s">
        <v>1143</v>
      </c>
      <c r="C341" s="379" t="s">
        <v>4433</v>
      </c>
      <c r="D341" s="681">
        <v>82</v>
      </c>
      <c r="E341" s="682"/>
      <c r="F341" s="682"/>
      <c r="G341" s="682"/>
      <c r="H341" s="682"/>
      <c r="I341" s="682"/>
      <c r="J341" s="682"/>
      <c r="K341" s="682"/>
      <c r="L341" s="682"/>
      <c r="M341" s="682"/>
      <c r="N341" s="682"/>
      <c r="O341" s="682"/>
      <c r="P341" s="682">
        <v>0</v>
      </c>
      <c r="Q341" s="314">
        <f t="shared" si="21"/>
        <v>0</v>
      </c>
      <c r="R341" s="315" t="str">
        <f t="shared" si="19"/>
        <v>SI</v>
      </c>
      <c r="S341" s="316" t="str">
        <f t="shared" si="20"/>
        <v>Sin Riesgo</v>
      </c>
      <c r="T341" s="120"/>
    </row>
    <row r="342" spans="1:20" s="119" customFormat="1" ht="32.1" customHeight="1">
      <c r="A342" s="404" t="s">
        <v>44</v>
      </c>
      <c r="B342" s="340" t="s">
        <v>1143</v>
      </c>
      <c r="C342" s="379" t="s">
        <v>4425</v>
      </c>
      <c r="D342" s="683">
        <v>82</v>
      </c>
      <c r="E342" s="682"/>
      <c r="F342" s="682"/>
      <c r="G342" s="682"/>
      <c r="H342" s="682"/>
      <c r="I342" s="682"/>
      <c r="J342" s="682"/>
      <c r="K342" s="682"/>
      <c r="L342" s="682"/>
      <c r="M342" s="682"/>
      <c r="N342" s="682"/>
      <c r="O342" s="682"/>
      <c r="P342" s="682">
        <v>0</v>
      </c>
      <c r="Q342" s="314">
        <f t="shared" si="21"/>
        <v>0</v>
      </c>
      <c r="R342" s="315" t="str">
        <f t="shared" si="19"/>
        <v>SI</v>
      </c>
      <c r="S342" s="316" t="str">
        <f t="shared" si="20"/>
        <v>Sin Riesgo</v>
      </c>
      <c r="T342" s="120"/>
    </row>
    <row r="343" spans="1:20" s="119" customFormat="1" ht="32.1" customHeight="1">
      <c r="A343" s="404" t="s">
        <v>44</v>
      </c>
      <c r="B343" s="340" t="s">
        <v>1144</v>
      </c>
      <c r="C343" s="379" t="s">
        <v>4426</v>
      </c>
      <c r="D343" s="681">
        <v>205</v>
      </c>
      <c r="E343" s="682"/>
      <c r="F343" s="682"/>
      <c r="G343" s="682"/>
      <c r="H343" s="682"/>
      <c r="I343" s="682"/>
      <c r="J343" s="682"/>
      <c r="K343" s="682"/>
      <c r="L343" s="682"/>
      <c r="M343" s="682"/>
      <c r="N343" s="682"/>
      <c r="O343" s="682"/>
      <c r="P343" s="682">
        <v>21.12</v>
      </c>
      <c r="Q343" s="314">
        <f t="shared" si="21"/>
        <v>21.12</v>
      </c>
      <c r="R343" s="315" t="str">
        <f t="shared" si="19"/>
        <v>NO</v>
      </c>
      <c r="S343" s="316" t="str">
        <f t="shared" si="20"/>
        <v>Medio</v>
      </c>
      <c r="T343" s="120"/>
    </row>
    <row r="344" spans="1:20" s="119" customFormat="1" ht="32.1" customHeight="1">
      <c r="A344" s="404" t="s">
        <v>44</v>
      </c>
      <c r="B344" s="340" t="s">
        <v>1145</v>
      </c>
      <c r="C344" s="379" t="s">
        <v>4427</v>
      </c>
      <c r="D344" s="304">
        <v>125</v>
      </c>
      <c r="E344" s="682"/>
      <c r="F344" s="682"/>
      <c r="G344" s="682"/>
      <c r="H344" s="682"/>
      <c r="I344" s="682"/>
      <c r="J344" s="682"/>
      <c r="K344" s="682"/>
      <c r="L344" s="682"/>
      <c r="M344" s="682"/>
      <c r="N344" s="682"/>
      <c r="O344" s="682"/>
      <c r="P344" s="682">
        <v>85.91</v>
      </c>
      <c r="Q344" s="314">
        <f t="shared" si="21"/>
        <v>85.91</v>
      </c>
      <c r="R344" s="315" t="str">
        <f t="shared" si="19"/>
        <v>NO</v>
      </c>
      <c r="S344" s="316" t="str">
        <f t="shared" si="20"/>
        <v>Inviable Sanitariamente</v>
      </c>
      <c r="T344" s="120"/>
    </row>
    <row r="345" spans="1:20" s="119" customFormat="1" ht="32.1" customHeight="1">
      <c r="A345" s="404" t="s">
        <v>44</v>
      </c>
      <c r="B345" s="340" t="s">
        <v>1146</v>
      </c>
      <c r="C345" s="379" t="s">
        <v>4428</v>
      </c>
      <c r="D345" s="683">
        <v>114</v>
      </c>
      <c r="E345" s="682"/>
      <c r="F345" s="682"/>
      <c r="G345" s="682"/>
      <c r="H345" s="682"/>
      <c r="I345" s="682"/>
      <c r="J345" s="682"/>
      <c r="K345" s="682"/>
      <c r="L345" s="682"/>
      <c r="M345" s="682"/>
      <c r="N345" s="682"/>
      <c r="O345" s="682"/>
      <c r="P345" s="682">
        <v>26.16</v>
      </c>
      <c r="Q345" s="314">
        <f t="shared" si="21"/>
        <v>26.16</v>
      </c>
      <c r="R345" s="315" t="str">
        <f t="shared" si="19"/>
        <v>NO</v>
      </c>
      <c r="S345" s="316" t="str">
        <f t="shared" si="20"/>
        <v>Medio</v>
      </c>
      <c r="T345" s="120"/>
    </row>
    <row r="346" spans="1:20" s="119" customFormat="1" ht="32.1" customHeight="1">
      <c r="A346" s="404" t="s">
        <v>44</v>
      </c>
      <c r="B346" s="340" t="s">
        <v>1147</v>
      </c>
      <c r="C346" s="379" t="s">
        <v>4429</v>
      </c>
      <c r="D346" s="681">
        <v>30</v>
      </c>
      <c r="E346" s="682"/>
      <c r="F346" s="682"/>
      <c r="G346" s="682"/>
      <c r="H346" s="682"/>
      <c r="I346" s="682"/>
      <c r="J346" s="682"/>
      <c r="K346" s="682"/>
      <c r="L346" s="682"/>
      <c r="M346" s="682"/>
      <c r="N346" s="682"/>
      <c r="O346" s="682"/>
      <c r="P346" s="682">
        <v>78.569999999999993</v>
      </c>
      <c r="Q346" s="314">
        <f t="shared" si="21"/>
        <v>78.569999999999993</v>
      </c>
      <c r="R346" s="315" t="str">
        <f t="shared" si="19"/>
        <v>NO</v>
      </c>
      <c r="S346" s="316" t="str">
        <f t="shared" si="20"/>
        <v>Alto</v>
      </c>
      <c r="T346" s="120"/>
    </row>
    <row r="347" spans="1:20" s="119" customFormat="1" ht="32.1" customHeight="1">
      <c r="A347" s="543" t="s">
        <v>44</v>
      </c>
      <c r="B347" s="544" t="s">
        <v>1148</v>
      </c>
      <c r="C347" s="542" t="s">
        <v>4432</v>
      </c>
      <c r="D347" s="304">
        <v>18</v>
      </c>
      <c r="E347" s="46"/>
      <c r="F347" s="46">
        <v>38.71</v>
      </c>
      <c r="G347" s="46"/>
      <c r="H347" s="46"/>
      <c r="I347" s="46">
        <v>70.97</v>
      </c>
      <c r="J347" s="46">
        <v>70.97</v>
      </c>
      <c r="K347" s="46"/>
      <c r="L347" s="46"/>
      <c r="M347" s="46"/>
      <c r="N347" s="46"/>
      <c r="O347" s="46"/>
      <c r="P347" s="46"/>
      <c r="Q347" s="314">
        <f t="shared" si="21"/>
        <v>60.216666666666669</v>
      </c>
      <c r="R347" s="315" t="str">
        <f t="shared" si="19"/>
        <v>NO</v>
      </c>
      <c r="S347" s="316" t="str">
        <f t="shared" si="20"/>
        <v>Alto</v>
      </c>
      <c r="T347" s="120"/>
    </row>
    <row r="348" spans="1:20" s="119" customFormat="1" ht="32.1" customHeight="1">
      <c r="A348" s="404" t="s">
        <v>44</v>
      </c>
      <c r="B348" s="483" t="s">
        <v>69</v>
      </c>
      <c r="C348" s="484" t="s">
        <v>4448</v>
      </c>
      <c r="D348" s="681">
        <v>182</v>
      </c>
      <c r="E348" s="682"/>
      <c r="F348" s="682"/>
      <c r="G348" s="682"/>
      <c r="H348" s="682"/>
      <c r="I348" s="682"/>
      <c r="J348" s="682"/>
      <c r="K348" s="682"/>
      <c r="L348" s="682"/>
      <c r="M348" s="682"/>
      <c r="N348" s="682"/>
      <c r="O348" s="682"/>
      <c r="P348" s="682">
        <v>89.28</v>
      </c>
      <c r="Q348" s="682">
        <f t="shared" si="21"/>
        <v>89.28</v>
      </c>
      <c r="R348" s="481" t="str">
        <f t="shared" si="19"/>
        <v>NO</v>
      </c>
      <c r="S348" s="482" t="str">
        <f t="shared" si="20"/>
        <v>Inviable Sanitariamente</v>
      </c>
      <c r="T348" s="120"/>
    </row>
    <row r="349" spans="1:20" s="119" customFormat="1" ht="32.1" customHeight="1">
      <c r="A349" s="404" t="s">
        <v>44</v>
      </c>
      <c r="B349" s="340" t="s">
        <v>1149</v>
      </c>
      <c r="C349" s="379" t="s">
        <v>4430</v>
      </c>
      <c r="D349" s="681">
        <v>22</v>
      </c>
      <c r="E349" s="682"/>
      <c r="F349" s="682"/>
      <c r="G349" s="682"/>
      <c r="H349" s="682"/>
      <c r="I349" s="682"/>
      <c r="J349" s="682"/>
      <c r="K349" s="682"/>
      <c r="L349" s="682"/>
      <c r="M349" s="682"/>
      <c r="N349" s="682"/>
      <c r="O349" s="682"/>
      <c r="P349" s="682">
        <v>17.440000000000001</v>
      </c>
      <c r="Q349" s="314">
        <f t="shared" si="21"/>
        <v>17.440000000000001</v>
      </c>
      <c r="R349" s="315" t="str">
        <f t="shared" si="19"/>
        <v>NO</v>
      </c>
      <c r="S349" s="316" t="str">
        <f t="shared" si="20"/>
        <v>Medio</v>
      </c>
      <c r="T349" s="120"/>
    </row>
    <row r="350" spans="1:20" s="119" customFormat="1" ht="32.1" customHeight="1">
      <c r="A350" s="404" t="s">
        <v>44</v>
      </c>
      <c r="B350" s="340" t="s">
        <v>1150</v>
      </c>
      <c r="C350" s="379" t="s">
        <v>4431</v>
      </c>
      <c r="D350" s="681">
        <v>68</v>
      </c>
      <c r="E350" s="682"/>
      <c r="F350" s="682"/>
      <c r="G350" s="683"/>
      <c r="H350" s="682"/>
      <c r="I350" s="682"/>
      <c r="J350" s="682"/>
      <c r="K350" s="682"/>
      <c r="L350" s="682"/>
      <c r="M350" s="682"/>
      <c r="N350" s="682"/>
      <c r="O350" s="682"/>
      <c r="P350" s="682">
        <v>58.82</v>
      </c>
      <c r="Q350" s="314">
        <f t="shared" si="21"/>
        <v>58.82</v>
      </c>
      <c r="R350" s="315" t="str">
        <f t="shared" si="19"/>
        <v>NO</v>
      </c>
      <c r="S350" s="316" t="str">
        <f t="shared" si="20"/>
        <v>Alto</v>
      </c>
      <c r="T350" s="120"/>
    </row>
    <row r="351" spans="1:20" s="119" customFormat="1" ht="32.1" customHeight="1">
      <c r="A351" s="404" t="s">
        <v>214</v>
      </c>
      <c r="B351" s="340" t="s">
        <v>1151</v>
      </c>
      <c r="C351" s="379" t="s">
        <v>1152</v>
      </c>
      <c r="D351" s="346">
        <v>76</v>
      </c>
      <c r="E351" s="47">
        <v>0</v>
      </c>
      <c r="F351" s="47"/>
      <c r="G351" s="47"/>
      <c r="H351" s="47"/>
      <c r="I351" s="47"/>
      <c r="J351" s="47"/>
      <c r="K351" s="47">
        <v>0</v>
      </c>
      <c r="L351" s="47"/>
      <c r="M351" s="47"/>
      <c r="N351" s="47">
        <v>24</v>
      </c>
      <c r="O351" s="47"/>
      <c r="P351" s="47"/>
      <c r="Q351" s="314">
        <f t="shared" si="21"/>
        <v>8</v>
      </c>
      <c r="R351" s="315" t="str">
        <f t="shared" si="19"/>
        <v>NO</v>
      </c>
      <c r="S351" s="316" t="str">
        <f t="shared" si="20"/>
        <v>Bajo</v>
      </c>
      <c r="T351" s="120"/>
    </row>
    <row r="352" spans="1:20" s="119" customFormat="1" ht="32.1" customHeight="1">
      <c r="A352" s="404" t="s">
        <v>214</v>
      </c>
      <c r="B352" s="340" t="s">
        <v>1153</v>
      </c>
      <c r="C352" s="379" t="s">
        <v>1154</v>
      </c>
      <c r="D352" s="346">
        <v>162</v>
      </c>
      <c r="E352" s="47"/>
      <c r="F352" s="47">
        <v>0</v>
      </c>
      <c r="G352" s="47"/>
      <c r="H352" s="47"/>
      <c r="I352" s="47"/>
      <c r="J352" s="47"/>
      <c r="K352" s="47"/>
      <c r="L352" s="47"/>
      <c r="M352" s="47">
        <v>24</v>
      </c>
      <c r="N352" s="47"/>
      <c r="O352" s="47"/>
      <c r="P352" s="47"/>
      <c r="Q352" s="314">
        <f t="shared" si="21"/>
        <v>12</v>
      </c>
      <c r="R352" s="315" t="str">
        <f t="shared" si="19"/>
        <v>NO</v>
      </c>
      <c r="S352" s="316" t="str">
        <f t="shared" si="20"/>
        <v>Bajo</v>
      </c>
      <c r="T352" s="120"/>
    </row>
    <row r="353" spans="1:20" s="119" customFormat="1" ht="32.1" customHeight="1">
      <c r="A353" s="404" t="s">
        <v>214</v>
      </c>
      <c r="B353" s="340" t="s">
        <v>1155</v>
      </c>
      <c r="C353" s="379" t="s">
        <v>1156</v>
      </c>
      <c r="D353" s="346">
        <v>265</v>
      </c>
      <c r="E353" s="47"/>
      <c r="F353" s="47">
        <v>0</v>
      </c>
      <c r="G353" s="47"/>
      <c r="H353" s="47"/>
      <c r="I353" s="47">
        <v>0</v>
      </c>
      <c r="J353" s="47"/>
      <c r="K353" s="47"/>
      <c r="L353" s="47">
        <v>0</v>
      </c>
      <c r="M353" s="47"/>
      <c r="N353" s="47"/>
      <c r="O353" s="47">
        <v>0</v>
      </c>
      <c r="P353" s="47"/>
      <c r="Q353" s="314">
        <f t="shared" si="21"/>
        <v>0</v>
      </c>
      <c r="R353" s="315" t="str">
        <f t="shared" si="19"/>
        <v>SI</v>
      </c>
      <c r="S353" s="316" t="str">
        <f t="shared" si="20"/>
        <v>Sin Riesgo</v>
      </c>
      <c r="T353" s="120"/>
    </row>
    <row r="354" spans="1:20" s="119" customFormat="1" ht="32.1" customHeight="1">
      <c r="A354" s="404" t="s">
        <v>214</v>
      </c>
      <c r="B354" s="340" t="s">
        <v>724</v>
      </c>
      <c r="C354" s="379" t="s">
        <v>1157</v>
      </c>
      <c r="D354" s="346">
        <v>104</v>
      </c>
      <c r="E354" s="47"/>
      <c r="F354" s="47"/>
      <c r="G354" s="47">
        <v>0</v>
      </c>
      <c r="H354" s="47"/>
      <c r="I354" s="47"/>
      <c r="J354" s="47"/>
      <c r="K354" s="47"/>
      <c r="L354" s="47"/>
      <c r="M354" s="47">
        <v>24</v>
      </c>
      <c r="N354" s="47"/>
      <c r="O354" s="47"/>
      <c r="P354" s="47"/>
      <c r="Q354" s="314">
        <f t="shared" si="21"/>
        <v>12</v>
      </c>
      <c r="R354" s="315" t="str">
        <f t="shared" si="19"/>
        <v>NO</v>
      </c>
      <c r="S354" s="316" t="str">
        <f t="shared" si="20"/>
        <v>Bajo</v>
      </c>
      <c r="T354" s="120"/>
    </row>
    <row r="355" spans="1:20" s="119" customFormat="1" ht="32.1" customHeight="1">
      <c r="A355" s="404" t="s">
        <v>214</v>
      </c>
      <c r="B355" s="340" t="s">
        <v>1158</v>
      </c>
      <c r="C355" s="379" t="s">
        <v>1159</v>
      </c>
      <c r="D355" s="346">
        <v>210</v>
      </c>
      <c r="E355" s="47"/>
      <c r="F355" s="47">
        <v>0</v>
      </c>
      <c r="G355" s="47"/>
      <c r="H355" s="47"/>
      <c r="I355" s="47">
        <v>0</v>
      </c>
      <c r="J355" s="47"/>
      <c r="K355" s="47"/>
      <c r="L355" s="47">
        <v>0</v>
      </c>
      <c r="M355" s="47"/>
      <c r="N355" s="47"/>
      <c r="O355" s="47">
        <v>0</v>
      </c>
      <c r="P355" s="47"/>
      <c r="Q355" s="314">
        <f t="shared" si="21"/>
        <v>0</v>
      </c>
      <c r="R355" s="315" t="str">
        <f t="shared" si="19"/>
        <v>SI</v>
      </c>
      <c r="S355" s="316" t="str">
        <f t="shared" si="20"/>
        <v>Sin Riesgo</v>
      </c>
      <c r="T355" s="120"/>
    </row>
    <row r="356" spans="1:20" s="119" customFormat="1" ht="32.1" customHeight="1">
      <c r="A356" s="404" t="s">
        <v>214</v>
      </c>
      <c r="B356" s="340" t="s">
        <v>1030</v>
      </c>
      <c r="C356" s="379" t="s">
        <v>1160</v>
      </c>
      <c r="D356" s="346">
        <v>51</v>
      </c>
      <c r="E356" s="47"/>
      <c r="F356" s="47"/>
      <c r="G356" s="47"/>
      <c r="H356" s="47"/>
      <c r="I356" s="47">
        <v>96.7</v>
      </c>
      <c r="J356" s="47"/>
      <c r="K356" s="47"/>
      <c r="L356" s="47"/>
      <c r="M356" s="47"/>
      <c r="N356" s="47"/>
      <c r="O356" s="47">
        <v>57.1</v>
      </c>
      <c r="P356" s="47"/>
      <c r="Q356" s="314">
        <f t="shared" si="21"/>
        <v>76.900000000000006</v>
      </c>
      <c r="R356" s="315" t="str">
        <f t="shared" si="19"/>
        <v>NO</v>
      </c>
      <c r="S356" s="316" t="str">
        <f t="shared" si="20"/>
        <v>Alto</v>
      </c>
      <c r="T356" s="120"/>
    </row>
    <row r="357" spans="1:20" s="119" customFormat="1" ht="32.1" customHeight="1">
      <c r="A357" s="404" t="s">
        <v>214</v>
      </c>
      <c r="B357" s="340" t="s">
        <v>1161</v>
      </c>
      <c r="C357" s="379" t="s">
        <v>1162</v>
      </c>
      <c r="D357" s="346">
        <v>85</v>
      </c>
      <c r="E357" s="47"/>
      <c r="F357" s="47"/>
      <c r="G357" s="47">
        <v>0</v>
      </c>
      <c r="H357" s="47"/>
      <c r="I357" s="47"/>
      <c r="J357" s="47"/>
      <c r="K357" s="47"/>
      <c r="L357" s="47"/>
      <c r="M357" s="47">
        <v>24</v>
      </c>
      <c r="N357" s="47"/>
      <c r="O357" s="47"/>
      <c r="P357" s="47"/>
      <c r="Q357" s="314">
        <f t="shared" si="21"/>
        <v>12</v>
      </c>
      <c r="R357" s="315" t="str">
        <f t="shared" si="19"/>
        <v>NO</v>
      </c>
      <c r="S357" s="316" t="str">
        <f t="shared" si="20"/>
        <v>Bajo</v>
      </c>
      <c r="T357" s="120"/>
    </row>
    <row r="358" spans="1:20" s="119" customFormat="1" ht="32.1" customHeight="1">
      <c r="A358" s="404" t="s">
        <v>214</v>
      </c>
      <c r="B358" s="340" t="s">
        <v>1163</v>
      </c>
      <c r="C358" s="379" t="s">
        <v>1164</v>
      </c>
      <c r="D358" s="399">
        <v>63</v>
      </c>
      <c r="E358" s="47"/>
      <c r="F358" s="47"/>
      <c r="G358" s="47"/>
      <c r="H358" s="47">
        <v>96.7</v>
      </c>
      <c r="I358" s="47"/>
      <c r="J358" s="47"/>
      <c r="K358" s="47"/>
      <c r="L358" s="47"/>
      <c r="M358" s="47"/>
      <c r="N358" s="47">
        <v>88</v>
      </c>
      <c r="O358" s="47"/>
      <c r="P358" s="47"/>
      <c r="Q358" s="314">
        <f t="shared" si="21"/>
        <v>92.35</v>
      </c>
      <c r="R358" s="315" t="str">
        <f t="shared" si="19"/>
        <v>NO</v>
      </c>
      <c r="S358" s="316" t="str">
        <f t="shared" si="20"/>
        <v>Inviable Sanitariamente</v>
      </c>
      <c r="T358" s="120"/>
    </row>
    <row r="359" spans="1:20" s="119" customFormat="1" ht="32.1" customHeight="1">
      <c r="A359" s="404" t="s">
        <v>214</v>
      </c>
      <c r="B359" s="340" t="s">
        <v>1015</v>
      </c>
      <c r="C359" s="379" t="s">
        <v>1165</v>
      </c>
      <c r="D359" s="346">
        <v>163</v>
      </c>
      <c r="E359" s="47"/>
      <c r="F359" s="47"/>
      <c r="G359" s="47"/>
      <c r="H359" s="47">
        <v>26.5</v>
      </c>
      <c r="I359" s="47"/>
      <c r="J359" s="47"/>
      <c r="K359" s="47"/>
      <c r="L359" s="47"/>
      <c r="M359" s="47"/>
      <c r="N359" s="47">
        <v>24</v>
      </c>
      <c r="O359" s="47"/>
      <c r="P359" s="47"/>
      <c r="Q359" s="314">
        <f t="shared" si="21"/>
        <v>25.25</v>
      </c>
      <c r="R359" s="315" t="str">
        <f t="shared" si="19"/>
        <v>NO</v>
      </c>
      <c r="S359" s="316" t="str">
        <f t="shared" si="20"/>
        <v>Medio</v>
      </c>
      <c r="T359" s="120"/>
    </row>
    <row r="360" spans="1:20" s="119" customFormat="1" ht="32.1" customHeight="1">
      <c r="A360" s="404" t="s">
        <v>214</v>
      </c>
      <c r="B360" s="340" t="s">
        <v>1166</v>
      </c>
      <c r="C360" s="379" t="s">
        <v>1167</v>
      </c>
      <c r="D360" s="346">
        <v>60</v>
      </c>
      <c r="E360" s="47"/>
      <c r="F360" s="47"/>
      <c r="G360" s="47"/>
      <c r="H360" s="47">
        <v>64.5</v>
      </c>
      <c r="I360" s="47"/>
      <c r="J360" s="47"/>
      <c r="K360" s="47"/>
      <c r="L360" s="47"/>
      <c r="M360" s="47"/>
      <c r="N360" s="47">
        <v>24</v>
      </c>
      <c r="O360" s="47"/>
      <c r="P360" s="47"/>
      <c r="Q360" s="314">
        <f t="shared" si="21"/>
        <v>44.25</v>
      </c>
      <c r="R360" s="315" t="str">
        <f t="shared" si="19"/>
        <v>NO</v>
      </c>
      <c r="S360" s="316" t="str">
        <f t="shared" si="20"/>
        <v>Alto</v>
      </c>
      <c r="T360" s="120"/>
    </row>
    <row r="361" spans="1:20" s="119" customFormat="1" ht="32.1" customHeight="1">
      <c r="A361" s="404" t="s">
        <v>214</v>
      </c>
      <c r="B361" s="340" t="s">
        <v>1168</v>
      </c>
      <c r="C361" s="379" t="s">
        <v>1169</v>
      </c>
      <c r="D361" s="399">
        <v>39</v>
      </c>
      <c r="E361" s="47"/>
      <c r="F361" s="47"/>
      <c r="G361" s="47"/>
      <c r="H361" s="47"/>
      <c r="I361" s="47">
        <v>96.7</v>
      </c>
      <c r="J361" s="47"/>
      <c r="K361" s="47"/>
      <c r="L361" s="47"/>
      <c r="M361" s="47"/>
      <c r="N361" s="47"/>
      <c r="O361" s="47">
        <v>97.1</v>
      </c>
      <c r="P361" s="47"/>
      <c r="Q361" s="314">
        <f t="shared" si="21"/>
        <v>96.9</v>
      </c>
      <c r="R361" s="315" t="str">
        <f t="shared" si="19"/>
        <v>NO</v>
      </c>
      <c r="S361" s="316" t="str">
        <f t="shared" si="20"/>
        <v>Inviable Sanitariamente</v>
      </c>
      <c r="T361" s="120"/>
    </row>
    <row r="362" spans="1:20" s="119" customFormat="1" ht="32.1" customHeight="1">
      <c r="A362" s="404" t="s">
        <v>214</v>
      </c>
      <c r="B362" s="340" t="s">
        <v>425</v>
      </c>
      <c r="C362" s="379" t="s">
        <v>1170</v>
      </c>
      <c r="D362" s="346">
        <v>22</v>
      </c>
      <c r="E362" s="47"/>
      <c r="F362" s="47">
        <v>96.3</v>
      </c>
      <c r="G362" s="47"/>
      <c r="H362" s="47"/>
      <c r="I362" s="47"/>
      <c r="J362" s="47"/>
      <c r="K362" s="47"/>
      <c r="L362" s="47">
        <v>85.7</v>
      </c>
      <c r="M362" s="47"/>
      <c r="N362" s="47"/>
      <c r="O362" s="47"/>
      <c r="P362" s="47"/>
      <c r="Q362" s="314">
        <f t="shared" si="21"/>
        <v>91</v>
      </c>
      <c r="R362" s="315" t="str">
        <f t="shared" si="19"/>
        <v>NO</v>
      </c>
      <c r="S362" s="316" t="str">
        <f t="shared" si="20"/>
        <v>Inviable Sanitariamente</v>
      </c>
      <c r="T362" s="120"/>
    </row>
    <row r="363" spans="1:20" s="119" customFormat="1" ht="32.1" customHeight="1">
      <c r="A363" s="404" t="s">
        <v>214</v>
      </c>
      <c r="B363" s="340" t="s">
        <v>1171</v>
      </c>
      <c r="C363" s="379" t="s">
        <v>1172</v>
      </c>
      <c r="D363" s="346">
        <v>24</v>
      </c>
      <c r="E363" s="47"/>
      <c r="F363" s="47">
        <v>96.3</v>
      </c>
      <c r="G363" s="47"/>
      <c r="H363" s="47"/>
      <c r="I363" s="47"/>
      <c r="J363" s="47"/>
      <c r="K363" s="47"/>
      <c r="L363" s="47"/>
      <c r="M363" s="47"/>
      <c r="N363" s="47">
        <v>64</v>
      </c>
      <c r="O363" s="47"/>
      <c r="P363" s="47"/>
      <c r="Q363" s="314">
        <f t="shared" si="21"/>
        <v>80.150000000000006</v>
      </c>
      <c r="R363" s="315" t="str">
        <f t="shared" si="19"/>
        <v>NO</v>
      </c>
      <c r="S363" s="316" t="str">
        <f t="shared" si="20"/>
        <v>Inviable Sanitariamente</v>
      </c>
      <c r="T363" s="120"/>
    </row>
    <row r="364" spans="1:20" s="119" customFormat="1" ht="32.1" customHeight="1">
      <c r="A364" s="404" t="s">
        <v>214</v>
      </c>
      <c r="B364" s="340" t="s">
        <v>1173</v>
      </c>
      <c r="C364" s="379" t="s">
        <v>1174</v>
      </c>
      <c r="D364" s="399">
        <v>43</v>
      </c>
      <c r="E364" s="47"/>
      <c r="F364" s="47"/>
      <c r="G364" s="47"/>
      <c r="H364" s="47">
        <v>0</v>
      </c>
      <c r="I364" s="47"/>
      <c r="J364" s="47"/>
      <c r="K364" s="47"/>
      <c r="L364" s="47"/>
      <c r="M364" s="47"/>
      <c r="N364" s="47">
        <v>0</v>
      </c>
      <c r="O364" s="47"/>
      <c r="P364" s="47"/>
      <c r="Q364" s="314">
        <f t="shared" si="21"/>
        <v>0</v>
      </c>
      <c r="R364" s="315" t="str">
        <f t="shared" si="19"/>
        <v>SI</v>
      </c>
      <c r="S364" s="316" t="str">
        <f t="shared" si="20"/>
        <v>Sin Riesgo</v>
      </c>
      <c r="T364" s="120"/>
    </row>
    <row r="365" spans="1:20" s="119" customFormat="1" ht="32.1" customHeight="1">
      <c r="A365" s="404" t="s">
        <v>214</v>
      </c>
      <c r="B365" s="340" t="s">
        <v>771</v>
      </c>
      <c r="C365" s="379" t="s">
        <v>1175</v>
      </c>
      <c r="D365" s="346">
        <v>110</v>
      </c>
      <c r="E365" s="47"/>
      <c r="F365" s="47"/>
      <c r="G365" s="47">
        <v>64</v>
      </c>
      <c r="H365" s="47"/>
      <c r="I365" s="47"/>
      <c r="J365" s="47"/>
      <c r="K365" s="47"/>
      <c r="L365" s="47"/>
      <c r="M365" s="47">
        <v>48</v>
      </c>
      <c r="N365" s="47"/>
      <c r="O365" s="47"/>
      <c r="P365" s="47"/>
      <c r="Q365" s="314">
        <f t="shared" si="21"/>
        <v>56</v>
      </c>
      <c r="R365" s="315" t="str">
        <f t="shared" si="19"/>
        <v>NO</v>
      </c>
      <c r="S365" s="316" t="str">
        <f t="shared" si="20"/>
        <v>Alto</v>
      </c>
      <c r="T365" s="120"/>
    </row>
    <row r="366" spans="1:20" s="119" customFormat="1" ht="32.1" customHeight="1">
      <c r="A366" s="404" t="s">
        <v>214</v>
      </c>
      <c r="B366" s="340" t="s">
        <v>1176</v>
      </c>
      <c r="C366" s="379" t="s">
        <v>1177</v>
      </c>
      <c r="D366" s="346">
        <v>109</v>
      </c>
      <c r="E366" s="47"/>
      <c r="F366" s="47"/>
      <c r="G366" s="47"/>
      <c r="H366" s="47">
        <v>96.7</v>
      </c>
      <c r="I366" s="47"/>
      <c r="J366" s="47"/>
      <c r="K366" s="47"/>
      <c r="L366" s="47"/>
      <c r="M366" s="47"/>
      <c r="N366" s="47">
        <v>64</v>
      </c>
      <c r="O366" s="47"/>
      <c r="P366" s="47"/>
      <c r="Q366" s="314">
        <f t="shared" si="21"/>
        <v>80.349999999999994</v>
      </c>
      <c r="R366" s="315" t="str">
        <f t="shared" si="19"/>
        <v>NO</v>
      </c>
      <c r="S366" s="316" t="str">
        <f t="shared" si="20"/>
        <v>Inviable Sanitariamente</v>
      </c>
      <c r="T366" s="120"/>
    </row>
    <row r="367" spans="1:20" s="121" customFormat="1" ht="32.1" customHeight="1">
      <c r="A367" s="404" t="s">
        <v>214</v>
      </c>
      <c r="B367" s="340" t="s">
        <v>1178</v>
      </c>
      <c r="C367" s="379" t="s">
        <v>1179</v>
      </c>
      <c r="D367" s="346">
        <v>25</v>
      </c>
      <c r="E367" s="47"/>
      <c r="F367" s="47"/>
      <c r="G367" s="47"/>
      <c r="H367" s="47"/>
      <c r="I367" s="47"/>
      <c r="J367" s="47">
        <v>64</v>
      </c>
      <c r="K367" s="47"/>
      <c r="L367" s="47"/>
      <c r="M367" s="47"/>
      <c r="N367" s="47"/>
      <c r="O367" s="47">
        <v>64</v>
      </c>
      <c r="P367" s="47"/>
      <c r="Q367" s="314">
        <f t="shared" si="21"/>
        <v>64</v>
      </c>
      <c r="R367" s="315" t="str">
        <f t="shared" si="19"/>
        <v>NO</v>
      </c>
      <c r="S367" s="316" t="str">
        <f t="shared" si="20"/>
        <v>Alto</v>
      </c>
      <c r="T367" s="105"/>
    </row>
    <row r="368" spans="1:20" s="119" customFormat="1" ht="32.1" customHeight="1">
      <c r="A368" s="404" t="s">
        <v>214</v>
      </c>
      <c r="B368" s="340" t="s">
        <v>600</v>
      </c>
      <c r="C368" s="379" t="s">
        <v>1180</v>
      </c>
      <c r="D368" s="346">
        <v>80</v>
      </c>
      <c r="E368" s="454"/>
      <c r="F368" s="47">
        <v>0</v>
      </c>
      <c r="G368" s="454"/>
      <c r="H368" s="47"/>
      <c r="I368" s="47">
        <v>0</v>
      </c>
      <c r="J368" s="47"/>
      <c r="K368" s="47"/>
      <c r="L368" s="47">
        <v>0</v>
      </c>
      <c r="M368" s="47"/>
      <c r="N368" s="47"/>
      <c r="O368" s="47">
        <v>0</v>
      </c>
      <c r="P368" s="47"/>
      <c r="Q368" s="314">
        <f t="shared" si="21"/>
        <v>0</v>
      </c>
      <c r="R368" s="315" t="str">
        <f t="shared" ref="R368:R417" si="22">IF(Q368&lt;5,"SI","NO")</f>
        <v>SI</v>
      </c>
      <c r="S368" s="316" t="str">
        <f t="shared" si="20"/>
        <v>Sin Riesgo</v>
      </c>
      <c r="T368" s="120"/>
    </row>
    <row r="369" spans="1:20" s="119" customFormat="1" ht="32.1" customHeight="1">
      <c r="A369" s="564" t="s">
        <v>215</v>
      </c>
      <c r="B369" s="601" t="s">
        <v>1181</v>
      </c>
      <c r="C369" s="674" t="s">
        <v>1182</v>
      </c>
      <c r="D369" s="304">
        <v>57</v>
      </c>
      <c r="E369" s="46"/>
      <c r="F369" s="46">
        <v>0</v>
      </c>
      <c r="G369" s="46"/>
      <c r="H369" s="46">
        <v>0</v>
      </c>
      <c r="I369" s="46"/>
      <c r="J369" s="46">
        <v>0</v>
      </c>
      <c r="K369" s="46"/>
      <c r="L369" s="46"/>
      <c r="M369" s="46"/>
      <c r="N369" s="46"/>
      <c r="O369" s="46"/>
      <c r="P369" s="46"/>
      <c r="Q369" s="314">
        <f t="shared" si="21"/>
        <v>0</v>
      </c>
      <c r="R369" s="315" t="str">
        <f t="shared" si="22"/>
        <v>SI</v>
      </c>
      <c r="S369" s="316" t="str">
        <f t="shared" si="20"/>
        <v>Sin Riesgo</v>
      </c>
      <c r="T369" s="120"/>
    </row>
    <row r="370" spans="1:20" s="119" customFormat="1" ht="32.1" customHeight="1">
      <c r="A370" s="564" t="s">
        <v>215</v>
      </c>
      <c r="B370" s="601" t="s">
        <v>1183</v>
      </c>
      <c r="C370" s="674" t="s">
        <v>1184</v>
      </c>
      <c r="D370" s="304">
        <v>98</v>
      </c>
      <c r="E370" s="46"/>
      <c r="F370" s="46">
        <v>0</v>
      </c>
      <c r="G370" s="46"/>
      <c r="H370" s="46">
        <v>0</v>
      </c>
      <c r="I370" s="46"/>
      <c r="J370" s="46">
        <v>0</v>
      </c>
      <c r="K370" s="46"/>
      <c r="L370" s="46"/>
      <c r="M370" s="46"/>
      <c r="N370" s="46"/>
      <c r="O370" s="46"/>
      <c r="P370" s="46"/>
      <c r="Q370" s="314">
        <f t="shared" si="21"/>
        <v>0</v>
      </c>
      <c r="R370" s="315" t="str">
        <f t="shared" si="22"/>
        <v>SI</v>
      </c>
      <c r="S370" s="316" t="str">
        <f t="shared" si="20"/>
        <v>Sin Riesgo</v>
      </c>
      <c r="T370" s="120"/>
    </row>
    <row r="371" spans="1:20" s="119" customFormat="1" ht="32.1" customHeight="1">
      <c r="A371" s="564" t="s">
        <v>215</v>
      </c>
      <c r="B371" s="586" t="s">
        <v>1185</v>
      </c>
      <c r="C371" s="675" t="s">
        <v>1186</v>
      </c>
      <c r="D371" s="399">
        <v>379</v>
      </c>
      <c r="E371" s="47">
        <v>0</v>
      </c>
      <c r="F371" s="47"/>
      <c r="G371" s="47">
        <v>21</v>
      </c>
      <c r="H371" s="47"/>
      <c r="I371" s="47">
        <v>0</v>
      </c>
      <c r="J371" s="47"/>
      <c r="K371" s="47">
        <v>0</v>
      </c>
      <c r="L371" s="47"/>
      <c r="M371" s="47">
        <v>0</v>
      </c>
      <c r="N371" s="47"/>
      <c r="O371" s="47">
        <v>0</v>
      </c>
      <c r="P371" s="46"/>
      <c r="Q371" s="314">
        <f t="shared" si="21"/>
        <v>3.5</v>
      </c>
      <c r="R371" s="315" t="str">
        <f t="shared" si="22"/>
        <v>SI</v>
      </c>
      <c r="S371" s="316" t="str">
        <f t="shared" si="20"/>
        <v>Sin Riesgo</v>
      </c>
      <c r="T371" s="120"/>
    </row>
    <row r="372" spans="1:20" s="119" customFormat="1" ht="32.1" customHeight="1">
      <c r="A372" s="564" t="s">
        <v>215</v>
      </c>
      <c r="B372" s="586" t="s">
        <v>555</v>
      </c>
      <c r="C372" s="675" t="s">
        <v>1187</v>
      </c>
      <c r="D372" s="399">
        <v>251</v>
      </c>
      <c r="E372" s="47"/>
      <c r="F372" s="47">
        <v>0</v>
      </c>
      <c r="G372" s="47"/>
      <c r="H372" s="47">
        <v>21</v>
      </c>
      <c r="I372" s="47"/>
      <c r="J372" s="47">
        <v>0</v>
      </c>
      <c r="K372" s="47"/>
      <c r="L372" s="47">
        <v>0</v>
      </c>
      <c r="M372" s="47"/>
      <c r="N372" s="47">
        <v>0</v>
      </c>
      <c r="O372" s="47"/>
      <c r="P372" s="46"/>
      <c r="Q372" s="314">
        <f t="shared" si="21"/>
        <v>4.2</v>
      </c>
      <c r="R372" s="315" t="str">
        <f t="shared" si="22"/>
        <v>SI</v>
      </c>
      <c r="S372" s="316" t="str">
        <f t="shared" si="20"/>
        <v>Sin Riesgo</v>
      </c>
      <c r="T372" s="120"/>
    </row>
    <row r="373" spans="1:20" s="119" customFormat="1" ht="32.1" customHeight="1">
      <c r="A373" s="564" t="s">
        <v>215</v>
      </c>
      <c r="B373" s="586" t="s">
        <v>1188</v>
      </c>
      <c r="C373" s="675" t="s">
        <v>1189</v>
      </c>
      <c r="D373" s="399">
        <v>251</v>
      </c>
      <c r="E373" s="47"/>
      <c r="F373" s="47">
        <v>0</v>
      </c>
      <c r="G373" s="47"/>
      <c r="H373" s="47">
        <v>21</v>
      </c>
      <c r="I373" s="47"/>
      <c r="J373" s="47">
        <v>0</v>
      </c>
      <c r="K373" s="47"/>
      <c r="L373" s="47">
        <v>0</v>
      </c>
      <c r="M373" s="47"/>
      <c r="N373" s="47">
        <v>0</v>
      </c>
      <c r="O373" s="47"/>
      <c r="P373" s="46"/>
      <c r="Q373" s="314">
        <f t="shared" si="21"/>
        <v>4.2</v>
      </c>
      <c r="R373" s="315" t="str">
        <f t="shared" si="22"/>
        <v>SI</v>
      </c>
      <c r="S373" s="316" t="str">
        <f t="shared" si="20"/>
        <v>Sin Riesgo</v>
      </c>
      <c r="T373" s="120"/>
    </row>
    <row r="374" spans="1:20" s="119" customFormat="1" ht="32.1" customHeight="1">
      <c r="A374" s="564" t="s">
        <v>215</v>
      </c>
      <c r="B374" s="586" t="s">
        <v>1190</v>
      </c>
      <c r="C374" s="675" t="s">
        <v>1191</v>
      </c>
      <c r="D374" s="399">
        <v>219</v>
      </c>
      <c r="E374" s="47">
        <v>0</v>
      </c>
      <c r="F374" s="47"/>
      <c r="G374" s="47">
        <v>21</v>
      </c>
      <c r="H374" s="47"/>
      <c r="I374" s="47">
        <v>0</v>
      </c>
      <c r="J374" s="47"/>
      <c r="K374" s="47">
        <v>0</v>
      </c>
      <c r="L374" s="47"/>
      <c r="M374" s="47">
        <v>0</v>
      </c>
      <c r="N374" s="47"/>
      <c r="O374" s="47">
        <v>0</v>
      </c>
      <c r="P374" s="46"/>
      <c r="Q374" s="314">
        <f t="shared" si="21"/>
        <v>3.5</v>
      </c>
      <c r="R374" s="315" t="str">
        <f t="shared" si="22"/>
        <v>SI</v>
      </c>
      <c r="S374" s="316" t="str">
        <f t="shared" si="20"/>
        <v>Sin Riesgo</v>
      </c>
      <c r="T374" s="120"/>
    </row>
    <row r="375" spans="1:20" s="119" customFormat="1" ht="32.1" customHeight="1">
      <c r="A375" s="564" t="s">
        <v>215</v>
      </c>
      <c r="B375" s="601" t="s">
        <v>1192</v>
      </c>
      <c r="C375" s="674" t="s">
        <v>1193</v>
      </c>
      <c r="D375" s="304">
        <v>398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/>
      <c r="L375" s="46"/>
      <c r="M375" s="46"/>
      <c r="N375" s="46"/>
      <c r="O375" s="46"/>
      <c r="P375" s="46"/>
      <c r="Q375" s="314">
        <f t="shared" si="21"/>
        <v>0</v>
      </c>
      <c r="R375" s="315" t="str">
        <f t="shared" si="22"/>
        <v>SI</v>
      </c>
      <c r="S375" s="316" t="str">
        <f t="shared" si="20"/>
        <v>Sin Riesgo</v>
      </c>
      <c r="T375" s="120"/>
    </row>
    <row r="376" spans="1:20" s="119" customFormat="1" ht="32.1" customHeight="1">
      <c r="A376" s="564" t="s">
        <v>215</v>
      </c>
      <c r="B376" s="601" t="s">
        <v>1194</v>
      </c>
      <c r="C376" s="674" t="s">
        <v>1195</v>
      </c>
      <c r="D376" s="304">
        <v>251</v>
      </c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/>
      <c r="L376" s="46"/>
      <c r="M376" s="46"/>
      <c r="N376" s="46"/>
      <c r="O376" s="46"/>
      <c r="P376" s="46"/>
      <c r="Q376" s="314">
        <f t="shared" si="21"/>
        <v>0</v>
      </c>
      <c r="R376" s="315" t="str">
        <f t="shared" si="22"/>
        <v>SI</v>
      </c>
      <c r="S376" s="316" t="str">
        <f t="shared" si="20"/>
        <v>Sin Riesgo</v>
      </c>
      <c r="T376" s="120"/>
    </row>
    <row r="377" spans="1:20" s="119" customFormat="1" ht="32.1" customHeight="1">
      <c r="A377" s="564" t="s">
        <v>215</v>
      </c>
      <c r="B377" s="601" t="s">
        <v>237</v>
      </c>
      <c r="C377" s="674" t="s">
        <v>1196</v>
      </c>
      <c r="D377" s="304">
        <v>367</v>
      </c>
      <c r="E377" s="46">
        <v>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/>
      <c r="L377" s="46"/>
      <c r="M377" s="46"/>
      <c r="N377" s="46"/>
      <c r="O377" s="46"/>
      <c r="P377" s="46"/>
      <c r="Q377" s="314">
        <f t="shared" si="21"/>
        <v>0</v>
      </c>
      <c r="R377" s="315" t="str">
        <f t="shared" si="22"/>
        <v>SI</v>
      </c>
      <c r="S377" s="316" t="str">
        <f t="shared" si="20"/>
        <v>Sin Riesgo</v>
      </c>
      <c r="T377" s="120"/>
    </row>
    <row r="378" spans="1:20" s="119" customFormat="1" ht="32.1" customHeight="1">
      <c r="A378" s="564" t="s">
        <v>215</v>
      </c>
      <c r="B378" s="601" t="s">
        <v>1197</v>
      </c>
      <c r="C378" s="674" t="s">
        <v>1198</v>
      </c>
      <c r="D378" s="304">
        <v>276</v>
      </c>
      <c r="E378" s="46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/>
      <c r="L378" s="46"/>
      <c r="M378" s="46"/>
      <c r="N378" s="46"/>
      <c r="O378" s="46"/>
      <c r="P378" s="46"/>
      <c r="Q378" s="314">
        <f t="shared" si="21"/>
        <v>0</v>
      </c>
      <c r="R378" s="315" t="str">
        <f t="shared" si="22"/>
        <v>SI</v>
      </c>
      <c r="S378" s="316" t="str">
        <f t="shared" si="20"/>
        <v>Sin Riesgo</v>
      </c>
      <c r="T378" s="120"/>
    </row>
    <row r="379" spans="1:20" s="119" customFormat="1" ht="32.1" customHeight="1">
      <c r="A379" s="564" t="s">
        <v>215</v>
      </c>
      <c r="B379" s="586" t="s">
        <v>1199</v>
      </c>
      <c r="C379" s="675" t="s">
        <v>1200</v>
      </c>
      <c r="D379" s="399">
        <v>17</v>
      </c>
      <c r="E379" s="47"/>
      <c r="F379" s="47">
        <v>21</v>
      </c>
      <c r="G379" s="47"/>
      <c r="H379" s="47">
        <v>0</v>
      </c>
      <c r="I379" s="47"/>
      <c r="J379" s="47">
        <v>19.7</v>
      </c>
      <c r="K379" s="47"/>
      <c r="L379" s="47">
        <v>19.7</v>
      </c>
      <c r="M379" s="47"/>
      <c r="N379" s="47">
        <v>59.2</v>
      </c>
      <c r="O379" s="47"/>
      <c r="P379" s="47">
        <v>21.7</v>
      </c>
      <c r="Q379" s="314">
        <f t="shared" si="21"/>
        <v>23.55</v>
      </c>
      <c r="R379" s="315" t="str">
        <f t="shared" si="22"/>
        <v>NO</v>
      </c>
      <c r="S379" s="316" t="str">
        <f t="shared" ref="S379:S445" si="23">IF(Q379&lt;5,"Sin Riesgo",IF(Q379 &lt;=14,"Bajo",IF(Q379&lt;=35,"Medio",IF(Q379&lt;=80,"Alto","Inviable Sanitariamente"))))</f>
        <v>Medio</v>
      </c>
      <c r="T379" s="120"/>
    </row>
    <row r="380" spans="1:20" s="119" customFormat="1" ht="32.1" customHeight="1">
      <c r="A380" s="564" t="s">
        <v>215</v>
      </c>
      <c r="B380" s="586" t="s">
        <v>1201</v>
      </c>
      <c r="C380" s="675" t="s">
        <v>1202</v>
      </c>
      <c r="D380" s="399">
        <v>343</v>
      </c>
      <c r="E380" s="47">
        <v>0</v>
      </c>
      <c r="F380" s="47"/>
      <c r="G380" s="47">
        <v>21</v>
      </c>
      <c r="H380" s="47"/>
      <c r="I380" s="47">
        <v>21</v>
      </c>
      <c r="J380" s="47"/>
      <c r="K380" s="47">
        <v>0</v>
      </c>
      <c r="L380" s="47"/>
      <c r="M380" s="47">
        <v>19.7</v>
      </c>
      <c r="N380" s="47"/>
      <c r="O380" s="47">
        <v>19.7</v>
      </c>
      <c r="P380" s="47"/>
      <c r="Q380" s="314">
        <f t="shared" si="21"/>
        <v>13.566666666666668</v>
      </c>
      <c r="R380" s="315" t="str">
        <f t="shared" si="22"/>
        <v>NO</v>
      </c>
      <c r="S380" s="316" t="str">
        <f t="shared" si="23"/>
        <v>Bajo</v>
      </c>
      <c r="T380" s="120"/>
    </row>
    <row r="381" spans="1:20" s="119" customFormat="1" ht="32.1" customHeight="1">
      <c r="A381" s="564" t="s">
        <v>215</v>
      </c>
      <c r="B381" s="586" t="s">
        <v>1203</v>
      </c>
      <c r="C381" s="675" t="s">
        <v>1204</v>
      </c>
      <c r="D381" s="399">
        <v>108</v>
      </c>
      <c r="E381" s="47"/>
      <c r="F381" s="47">
        <v>21</v>
      </c>
      <c r="G381" s="47"/>
      <c r="H381" s="47">
        <v>0</v>
      </c>
      <c r="I381" s="47"/>
      <c r="J381" s="47">
        <v>19.7</v>
      </c>
      <c r="K381" s="47"/>
      <c r="L381" s="47">
        <v>19.7</v>
      </c>
      <c r="M381" s="47"/>
      <c r="N381" s="47">
        <v>59.2</v>
      </c>
      <c r="O381" s="47"/>
      <c r="P381" s="47">
        <v>21.7</v>
      </c>
      <c r="Q381" s="314">
        <f t="shared" si="21"/>
        <v>23.55</v>
      </c>
      <c r="R381" s="315" t="str">
        <f t="shared" si="22"/>
        <v>NO</v>
      </c>
      <c r="S381" s="316" t="str">
        <f t="shared" si="23"/>
        <v>Medio</v>
      </c>
      <c r="T381" s="120"/>
    </row>
    <row r="382" spans="1:20" s="119" customFormat="1" ht="32.1" customHeight="1">
      <c r="A382" s="564" t="s">
        <v>215</v>
      </c>
      <c r="B382" s="586" t="s">
        <v>512</v>
      </c>
      <c r="C382" s="675" t="s">
        <v>1205</v>
      </c>
      <c r="D382" s="399">
        <v>253</v>
      </c>
      <c r="E382" s="47">
        <v>0</v>
      </c>
      <c r="F382" s="47"/>
      <c r="G382" s="47">
        <v>21</v>
      </c>
      <c r="H382" s="47"/>
      <c r="I382" s="47">
        <v>21</v>
      </c>
      <c r="J382" s="47"/>
      <c r="K382" s="47">
        <v>0</v>
      </c>
      <c r="L382" s="47"/>
      <c r="M382" s="47">
        <v>19.7</v>
      </c>
      <c r="N382" s="47"/>
      <c r="O382" s="47">
        <v>19.7</v>
      </c>
      <c r="P382" s="47"/>
      <c r="Q382" s="314">
        <f t="shared" si="21"/>
        <v>13.566666666666668</v>
      </c>
      <c r="R382" s="315" t="str">
        <f t="shared" si="22"/>
        <v>NO</v>
      </c>
      <c r="S382" s="316" t="str">
        <f t="shared" si="23"/>
        <v>Bajo</v>
      </c>
      <c r="T382" s="120"/>
    </row>
    <row r="383" spans="1:20" s="119" customFormat="1" ht="32.1" customHeight="1">
      <c r="A383" s="564" t="s">
        <v>215</v>
      </c>
      <c r="B383" s="601" t="s">
        <v>1206</v>
      </c>
      <c r="C383" s="674" t="s">
        <v>1207</v>
      </c>
      <c r="D383" s="304">
        <v>144</v>
      </c>
      <c r="E383" s="46"/>
      <c r="F383" s="46">
        <v>0</v>
      </c>
      <c r="G383" s="46"/>
      <c r="H383" s="46">
        <v>0</v>
      </c>
      <c r="I383" s="46"/>
      <c r="J383" s="46">
        <v>0</v>
      </c>
      <c r="K383" s="46"/>
      <c r="L383" s="46"/>
      <c r="M383" s="46"/>
      <c r="N383" s="46"/>
      <c r="O383" s="46"/>
      <c r="P383" s="46"/>
      <c r="Q383" s="314">
        <f t="shared" si="21"/>
        <v>0</v>
      </c>
      <c r="R383" s="315" t="str">
        <f t="shared" si="22"/>
        <v>SI</v>
      </c>
      <c r="S383" s="316" t="str">
        <f t="shared" si="23"/>
        <v>Sin Riesgo</v>
      </c>
      <c r="T383" s="120"/>
    </row>
    <row r="384" spans="1:20" s="119" customFormat="1" ht="32.1" customHeight="1">
      <c r="A384" s="564" t="s">
        <v>215</v>
      </c>
      <c r="B384" s="601" t="s">
        <v>519</v>
      </c>
      <c r="C384" s="674" t="s">
        <v>1208</v>
      </c>
      <c r="D384" s="304">
        <v>41</v>
      </c>
      <c r="E384" s="46"/>
      <c r="F384" s="46">
        <v>0</v>
      </c>
      <c r="G384" s="46"/>
      <c r="H384" s="46">
        <v>0</v>
      </c>
      <c r="I384" s="46"/>
      <c r="J384" s="46">
        <v>0</v>
      </c>
      <c r="K384" s="46"/>
      <c r="L384" s="46"/>
      <c r="M384" s="46"/>
      <c r="N384" s="46"/>
      <c r="O384" s="46"/>
      <c r="P384" s="46"/>
      <c r="Q384" s="314">
        <f t="shared" si="21"/>
        <v>0</v>
      </c>
      <c r="R384" s="315" t="str">
        <f t="shared" si="22"/>
        <v>SI</v>
      </c>
      <c r="S384" s="316" t="str">
        <f t="shared" si="23"/>
        <v>Sin Riesgo</v>
      </c>
      <c r="T384" s="120"/>
    </row>
    <row r="385" spans="1:20" s="119" customFormat="1" ht="32.1" customHeight="1">
      <c r="A385" s="564" t="s">
        <v>215</v>
      </c>
      <c r="B385" s="601" t="s">
        <v>238</v>
      </c>
      <c r="C385" s="674" t="s">
        <v>1209</v>
      </c>
      <c r="D385" s="304">
        <v>50</v>
      </c>
      <c r="E385" s="46"/>
      <c r="F385" s="46">
        <v>0</v>
      </c>
      <c r="G385" s="46"/>
      <c r="H385" s="46">
        <v>0</v>
      </c>
      <c r="I385" s="46"/>
      <c r="J385" s="46">
        <v>0</v>
      </c>
      <c r="K385" s="46"/>
      <c r="L385" s="46"/>
      <c r="M385" s="46"/>
      <c r="N385" s="46"/>
      <c r="O385" s="46"/>
      <c r="P385" s="46"/>
      <c r="Q385" s="314">
        <f t="shared" ref="Q385:Q428" si="24">AVERAGE(E385:P385)</f>
        <v>0</v>
      </c>
      <c r="R385" s="315" t="str">
        <f t="shared" si="22"/>
        <v>SI</v>
      </c>
      <c r="S385" s="316" t="str">
        <f t="shared" si="23"/>
        <v>Sin Riesgo</v>
      </c>
      <c r="T385" s="120"/>
    </row>
    <row r="386" spans="1:20" s="119" customFormat="1" ht="32.1" customHeight="1">
      <c r="A386" s="564" t="s">
        <v>215</v>
      </c>
      <c r="B386" s="601" t="s">
        <v>583</v>
      </c>
      <c r="C386" s="674" t="s">
        <v>1210</v>
      </c>
      <c r="D386" s="304">
        <v>151</v>
      </c>
      <c r="E386" s="46"/>
      <c r="F386" s="46">
        <v>0</v>
      </c>
      <c r="G386" s="46"/>
      <c r="H386" s="46">
        <v>0</v>
      </c>
      <c r="I386" s="46"/>
      <c r="J386" s="46">
        <v>0</v>
      </c>
      <c r="K386" s="46"/>
      <c r="L386" s="46"/>
      <c r="M386" s="46"/>
      <c r="N386" s="46"/>
      <c r="O386" s="46"/>
      <c r="P386" s="46"/>
      <c r="Q386" s="314">
        <f t="shared" si="24"/>
        <v>0</v>
      </c>
      <c r="R386" s="315" t="str">
        <f t="shared" si="22"/>
        <v>SI</v>
      </c>
      <c r="S386" s="316" t="str">
        <f t="shared" si="23"/>
        <v>Sin Riesgo</v>
      </c>
      <c r="T386" s="120"/>
    </row>
    <row r="387" spans="1:20" s="119" customFormat="1" ht="32.1" customHeight="1">
      <c r="A387" s="564" t="s">
        <v>215</v>
      </c>
      <c r="B387" s="601" t="s">
        <v>64</v>
      </c>
      <c r="C387" s="674" t="s">
        <v>1211</v>
      </c>
      <c r="D387" s="304">
        <v>35</v>
      </c>
      <c r="E387" s="46"/>
      <c r="F387" s="46">
        <v>0</v>
      </c>
      <c r="G387" s="46"/>
      <c r="H387" s="46">
        <v>0</v>
      </c>
      <c r="I387" s="46"/>
      <c r="J387" s="46">
        <v>0</v>
      </c>
      <c r="K387" s="46"/>
      <c r="L387" s="46"/>
      <c r="M387" s="46"/>
      <c r="N387" s="46"/>
      <c r="O387" s="46"/>
      <c r="P387" s="46"/>
      <c r="Q387" s="314">
        <f t="shared" si="24"/>
        <v>0</v>
      </c>
      <c r="R387" s="315" t="str">
        <f t="shared" si="22"/>
        <v>SI</v>
      </c>
      <c r="S387" s="316" t="str">
        <f t="shared" si="23"/>
        <v>Sin Riesgo</v>
      </c>
      <c r="T387" s="120"/>
    </row>
    <row r="388" spans="1:20" s="119" customFormat="1" ht="32.1" customHeight="1">
      <c r="A388" s="564" t="s">
        <v>215</v>
      </c>
      <c r="B388" s="601" t="s">
        <v>1212</v>
      </c>
      <c r="C388" s="674" t="s">
        <v>1213</v>
      </c>
      <c r="D388" s="304">
        <v>115</v>
      </c>
      <c r="E388" s="46">
        <v>0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/>
      <c r="L388" s="46"/>
      <c r="M388" s="46"/>
      <c r="N388" s="46"/>
      <c r="O388" s="46"/>
      <c r="P388" s="46"/>
      <c r="Q388" s="314">
        <f t="shared" si="24"/>
        <v>0</v>
      </c>
      <c r="R388" s="315" t="str">
        <f t="shared" si="22"/>
        <v>SI</v>
      </c>
      <c r="S388" s="316" t="str">
        <f t="shared" si="23"/>
        <v>Sin Riesgo</v>
      </c>
      <c r="T388" s="120"/>
    </row>
    <row r="389" spans="1:20" s="119" customFormat="1" ht="32.1" customHeight="1">
      <c r="A389" s="564" t="s">
        <v>215</v>
      </c>
      <c r="B389" s="601" t="s">
        <v>1214</v>
      </c>
      <c r="C389" s="674" t="s">
        <v>1215</v>
      </c>
      <c r="D389" s="304">
        <v>82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/>
      <c r="L389" s="46"/>
      <c r="M389" s="46"/>
      <c r="N389" s="46"/>
      <c r="O389" s="46"/>
      <c r="P389" s="46"/>
      <c r="Q389" s="314">
        <f t="shared" si="24"/>
        <v>0</v>
      </c>
      <c r="R389" s="315" t="str">
        <f t="shared" si="22"/>
        <v>SI</v>
      </c>
      <c r="S389" s="316" t="str">
        <f t="shared" si="23"/>
        <v>Sin Riesgo</v>
      </c>
      <c r="T389" s="120"/>
    </row>
    <row r="390" spans="1:20" s="119" customFormat="1" ht="32.1" customHeight="1">
      <c r="A390" s="564" t="s">
        <v>215</v>
      </c>
      <c r="B390" s="601" t="s">
        <v>1199</v>
      </c>
      <c r="C390" s="674" t="s">
        <v>1216</v>
      </c>
      <c r="D390" s="304">
        <v>230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/>
      <c r="L390" s="46"/>
      <c r="M390" s="46"/>
      <c r="N390" s="46"/>
      <c r="O390" s="46"/>
      <c r="P390" s="46"/>
      <c r="Q390" s="314">
        <f t="shared" si="24"/>
        <v>0</v>
      </c>
      <c r="R390" s="315" t="str">
        <f t="shared" si="22"/>
        <v>SI</v>
      </c>
      <c r="S390" s="316" t="str">
        <f t="shared" si="23"/>
        <v>Sin Riesgo</v>
      </c>
      <c r="T390" s="120"/>
    </row>
    <row r="391" spans="1:20" s="119" customFormat="1" ht="32.1" customHeight="1">
      <c r="A391" s="564" t="s">
        <v>215</v>
      </c>
      <c r="B391" s="601" t="s">
        <v>238</v>
      </c>
      <c r="C391" s="674" t="s">
        <v>1217</v>
      </c>
      <c r="D391" s="304">
        <v>102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/>
      <c r="L391" s="46"/>
      <c r="M391" s="46"/>
      <c r="N391" s="46"/>
      <c r="O391" s="46"/>
      <c r="P391" s="46"/>
      <c r="Q391" s="314">
        <f t="shared" si="24"/>
        <v>0</v>
      </c>
      <c r="R391" s="315" t="str">
        <f t="shared" si="22"/>
        <v>SI</v>
      </c>
      <c r="S391" s="316" t="str">
        <f t="shared" si="23"/>
        <v>Sin Riesgo</v>
      </c>
      <c r="T391" s="120"/>
    </row>
    <row r="392" spans="1:20" s="119" customFormat="1" ht="32.1" customHeight="1">
      <c r="A392" s="564" t="s">
        <v>215</v>
      </c>
      <c r="B392" s="601" t="s">
        <v>1218</v>
      </c>
      <c r="C392" s="674" t="s">
        <v>1219</v>
      </c>
      <c r="D392" s="304">
        <v>45</v>
      </c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/>
      <c r="L392" s="46"/>
      <c r="M392" s="46"/>
      <c r="N392" s="46"/>
      <c r="O392" s="46"/>
      <c r="P392" s="46"/>
      <c r="Q392" s="314">
        <f t="shared" si="24"/>
        <v>0</v>
      </c>
      <c r="R392" s="315" t="str">
        <f t="shared" si="22"/>
        <v>SI</v>
      </c>
      <c r="S392" s="316" t="str">
        <f t="shared" si="23"/>
        <v>Sin Riesgo</v>
      </c>
      <c r="T392" s="120"/>
    </row>
    <row r="393" spans="1:20" s="119" customFormat="1" ht="32.1" customHeight="1">
      <c r="A393" s="564" t="s">
        <v>215</v>
      </c>
      <c r="B393" s="601" t="s">
        <v>1220</v>
      </c>
      <c r="C393" s="674" t="s">
        <v>1221</v>
      </c>
      <c r="D393" s="304">
        <v>191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/>
      <c r="L393" s="46"/>
      <c r="M393" s="46"/>
      <c r="N393" s="46"/>
      <c r="O393" s="46"/>
      <c r="P393" s="46"/>
      <c r="Q393" s="314">
        <f t="shared" si="24"/>
        <v>0</v>
      </c>
      <c r="R393" s="315" t="str">
        <f t="shared" si="22"/>
        <v>SI</v>
      </c>
      <c r="S393" s="316" t="str">
        <f t="shared" si="23"/>
        <v>Sin Riesgo</v>
      </c>
      <c r="T393" s="120"/>
    </row>
    <row r="394" spans="1:20" s="119" customFormat="1" ht="32.1" customHeight="1">
      <c r="A394" s="564" t="s">
        <v>215</v>
      </c>
      <c r="B394" s="601" t="s">
        <v>1222</v>
      </c>
      <c r="C394" s="674" t="s">
        <v>1223</v>
      </c>
      <c r="D394" s="304">
        <v>59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/>
      <c r="L394" s="46"/>
      <c r="M394" s="46"/>
      <c r="N394" s="46"/>
      <c r="O394" s="46"/>
      <c r="P394" s="46"/>
      <c r="Q394" s="314">
        <f t="shared" si="24"/>
        <v>0</v>
      </c>
      <c r="R394" s="315" t="str">
        <f t="shared" si="22"/>
        <v>SI</v>
      </c>
      <c r="S394" s="316" t="str">
        <f t="shared" si="23"/>
        <v>Sin Riesgo</v>
      </c>
      <c r="T394" s="120"/>
    </row>
    <row r="395" spans="1:20" s="119" customFormat="1" ht="32.1" customHeight="1">
      <c r="A395" s="564" t="s">
        <v>215</v>
      </c>
      <c r="B395" s="601" t="s">
        <v>1224</v>
      </c>
      <c r="C395" s="674" t="s">
        <v>1225</v>
      </c>
      <c r="D395" s="304">
        <v>81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/>
      <c r="L395" s="46"/>
      <c r="M395" s="46"/>
      <c r="N395" s="46"/>
      <c r="O395" s="46"/>
      <c r="P395" s="46"/>
      <c r="Q395" s="314">
        <f t="shared" si="24"/>
        <v>0</v>
      </c>
      <c r="R395" s="315" t="str">
        <f t="shared" si="22"/>
        <v>SI</v>
      </c>
      <c r="S395" s="316" t="str">
        <f t="shared" si="23"/>
        <v>Sin Riesgo</v>
      </c>
      <c r="T395" s="120"/>
    </row>
    <row r="396" spans="1:20" s="119" customFormat="1" ht="32.1" customHeight="1">
      <c r="A396" s="564" t="s">
        <v>215</v>
      </c>
      <c r="B396" s="601" t="s">
        <v>1226</v>
      </c>
      <c r="C396" s="674" t="s">
        <v>1227</v>
      </c>
      <c r="D396" s="304">
        <v>97</v>
      </c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/>
      <c r="L396" s="46"/>
      <c r="M396" s="46"/>
      <c r="N396" s="46"/>
      <c r="O396" s="46"/>
      <c r="P396" s="46"/>
      <c r="Q396" s="314">
        <f t="shared" si="24"/>
        <v>0</v>
      </c>
      <c r="R396" s="315" t="str">
        <f t="shared" si="22"/>
        <v>SI</v>
      </c>
      <c r="S396" s="316" t="str">
        <f t="shared" si="23"/>
        <v>Sin Riesgo</v>
      </c>
      <c r="T396" s="120"/>
    </row>
    <row r="397" spans="1:20" s="119" customFormat="1" ht="32.1" customHeight="1">
      <c r="A397" s="564" t="s">
        <v>215</v>
      </c>
      <c r="B397" s="601" t="s">
        <v>64</v>
      </c>
      <c r="C397" s="674" t="s">
        <v>1228</v>
      </c>
      <c r="D397" s="304">
        <v>54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/>
      <c r="L397" s="46"/>
      <c r="M397" s="46"/>
      <c r="N397" s="46"/>
      <c r="O397" s="46"/>
      <c r="P397" s="46"/>
      <c r="Q397" s="314">
        <f t="shared" si="24"/>
        <v>0</v>
      </c>
      <c r="R397" s="315" t="str">
        <f t="shared" si="22"/>
        <v>SI</v>
      </c>
      <c r="S397" s="316" t="str">
        <f t="shared" si="23"/>
        <v>Sin Riesgo</v>
      </c>
      <c r="T397" s="120"/>
    </row>
    <row r="398" spans="1:20" s="119" customFormat="1" ht="32.1" customHeight="1">
      <c r="A398" s="404" t="s">
        <v>215</v>
      </c>
      <c r="B398" s="340" t="s">
        <v>1229</v>
      </c>
      <c r="C398" s="379" t="s">
        <v>1230</v>
      </c>
      <c r="D398" s="399">
        <v>296</v>
      </c>
      <c r="E398" s="47"/>
      <c r="F398" s="47">
        <v>2.1</v>
      </c>
      <c r="G398" s="47"/>
      <c r="H398" s="47">
        <v>2.1</v>
      </c>
      <c r="I398" s="47"/>
      <c r="J398" s="47">
        <v>1.97</v>
      </c>
      <c r="K398" s="47"/>
      <c r="L398" s="47">
        <v>1.97</v>
      </c>
      <c r="M398" s="47"/>
      <c r="N398" s="47">
        <v>1.97</v>
      </c>
      <c r="O398" s="47"/>
      <c r="P398" s="47">
        <v>1.97</v>
      </c>
      <c r="Q398" s="314">
        <f t="shared" si="24"/>
        <v>2.0133333333333336</v>
      </c>
      <c r="R398" s="315" t="str">
        <f t="shared" si="22"/>
        <v>SI</v>
      </c>
      <c r="S398" s="316" t="str">
        <f t="shared" si="23"/>
        <v>Sin Riesgo</v>
      </c>
      <c r="T398" s="120"/>
    </row>
    <row r="399" spans="1:20" s="119" customFormat="1" ht="32.1" customHeight="1">
      <c r="A399" s="404" t="s">
        <v>215</v>
      </c>
      <c r="B399" s="340" t="s">
        <v>1231</v>
      </c>
      <c r="C399" s="379" t="s">
        <v>1232</v>
      </c>
      <c r="D399" s="399">
        <v>84</v>
      </c>
      <c r="E399" s="47">
        <v>0</v>
      </c>
      <c r="F399" s="47"/>
      <c r="G399" s="47">
        <v>21</v>
      </c>
      <c r="H399" s="47"/>
      <c r="I399" s="47">
        <v>0</v>
      </c>
      <c r="J399" s="47"/>
      <c r="K399" s="47">
        <v>0</v>
      </c>
      <c r="L399" s="47"/>
      <c r="M399" s="47">
        <v>0</v>
      </c>
      <c r="N399" s="47"/>
      <c r="O399" s="47">
        <v>39.5</v>
      </c>
      <c r="P399" s="47"/>
      <c r="Q399" s="314">
        <f t="shared" si="24"/>
        <v>10.083333333333334</v>
      </c>
      <c r="R399" s="315" t="str">
        <f t="shared" si="22"/>
        <v>NO</v>
      </c>
      <c r="S399" s="316" t="str">
        <f t="shared" si="23"/>
        <v>Bajo</v>
      </c>
      <c r="T399" s="120"/>
    </row>
    <row r="400" spans="1:20" s="119" customFormat="1" ht="32.1" customHeight="1">
      <c r="A400" s="404" t="s">
        <v>215</v>
      </c>
      <c r="B400" s="340" t="s">
        <v>594</v>
      </c>
      <c r="C400" s="379" t="s">
        <v>1233</v>
      </c>
      <c r="D400" s="399">
        <v>53</v>
      </c>
      <c r="E400" s="47">
        <v>0</v>
      </c>
      <c r="F400" s="47"/>
      <c r="G400" s="47">
        <v>21</v>
      </c>
      <c r="H400" s="47"/>
      <c r="I400" s="47">
        <v>0</v>
      </c>
      <c r="J400" s="47"/>
      <c r="K400" s="47">
        <v>0</v>
      </c>
      <c r="L400" s="47"/>
      <c r="M400" s="47">
        <v>0</v>
      </c>
      <c r="N400" s="47"/>
      <c r="O400" s="47">
        <v>39.5</v>
      </c>
      <c r="P400" s="47"/>
      <c r="Q400" s="314">
        <f t="shared" si="24"/>
        <v>10.083333333333334</v>
      </c>
      <c r="R400" s="315" t="str">
        <f t="shared" si="22"/>
        <v>NO</v>
      </c>
      <c r="S400" s="316" t="str">
        <f t="shared" si="23"/>
        <v>Bajo</v>
      </c>
      <c r="T400" s="120"/>
    </row>
    <row r="401" spans="1:20" s="119" customFormat="1" ht="32.1" customHeight="1">
      <c r="A401" s="404" t="s">
        <v>215</v>
      </c>
      <c r="B401" s="340" t="s">
        <v>1234</v>
      </c>
      <c r="C401" s="379" t="s">
        <v>1235</v>
      </c>
      <c r="D401" s="399">
        <v>146</v>
      </c>
      <c r="E401" s="47"/>
      <c r="F401" s="47">
        <v>2</v>
      </c>
      <c r="G401" s="47"/>
      <c r="H401" s="47">
        <v>2.1</v>
      </c>
      <c r="I401" s="47"/>
      <c r="J401" s="47">
        <v>1.97</v>
      </c>
      <c r="K401" s="47"/>
      <c r="L401" s="47">
        <v>1.97</v>
      </c>
      <c r="M401" s="47"/>
      <c r="N401" s="47">
        <v>1.97</v>
      </c>
      <c r="O401" s="47"/>
      <c r="P401" s="47">
        <v>1.97</v>
      </c>
      <c r="Q401" s="314">
        <f t="shared" si="24"/>
        <v>1.9966666666666668</v>
      </c>
      <c r="R401" s="315" t="str">
        <f t="shared" si="22"/>
        <v>SI</v>
      </c>
      <c r="S401" s="316" t="str">
        <f t="shared" si="23"/>
        <v>Sin Riesgo</v>
      </c>
      <c r="T401" s="120"/>
    </row>
    <row r="402" spans="1:20" s="119" customFormat="1" ht="32.1" customHeight="1">
      <c r="A402" s="404" t="s">
        <v>215</v>
      </c>
      <c r="B402" s="340" t="s">
        <v>1236</v>
      </c>
      <c r="C402" s="379" t="s">
        <v>1237</v>
      </c>
      <c r="D402" s="399">
        <v>42</v>
      </c>
      <c r="E402" s="47">
        <v>0</v>
      </c>
      <c r="F402" s="47"/>
      <c r="G402" s="47">
        <v>21</v>
      </c>
      <c r="H402" s="47"/>
      <c r="I402" s="47">
        <v>0</v>
      </c>
      <c r="J402" s="47"/>
      <c r="K402" s="47">
        <v>0</v>
      </c>
      <c r="L402" s="47"/>
      <c r="M402" s="47">
        <v>0</v>
      </c>
      <c r="N402" s="47"/>
      <c r="O402" s="47">
        <v>39.5</v>
      </c>
      <c r="P402" s="47"/>
      <c r="Q402" s="314">
        <f t="shared" si="24"/>
        <v>10.083333333333334</v>
      </c>
      <c r="R402" s="315" t="str">
        <f t="shared" si="22"/>
        <v>NO</v>
      </c>
      <c r="S402" s="316" t="str">
        <f t="shared" si="23"/>
        <v>Bajo</v>
      </c>
      <c r="T402" s="120"/>
    </row>
    <row r="403" spans="1:20" s="119" customFormat="1" ht="32.1" customHeight="1">
      <c r="A403" s="404" t="s">
        <v>215</v>
      </c>
      <c r="B403" s="340" t="s">
        <v>949</v>
      </c>
      <c r="C403" s="379" t="s">
        <v>1238</v>
      </c>
      <c r="D403" s="399">
        <v>186</v>
      </c>
      <c r="E403" s="47">
        <v>0</v>
      </c>
      <c r="F403" s="47"/>
      <c r="G403" s="47">
        <v>21</v>
      </c>
      <c r="H403" s="47"/>
      <c r="I403" s="47"/>
      <c r="J403" s="47">
        <v>1.97</v>
      </c>
      <c r="K403" s="47"/>
      <c r="L403" s="47"/>
      <c r="M403" s="47"/>
      <c r="N403" s="47">
        <v>0</v>
      </c>
      <c r="O403" s="47"/>
      <c r="P403" s="47"/>
      <c r="Q403" s="314">
        <f t="shared" si="24"/>
        <v>5.7424999999999997</v>
      </c>
      <c r="R403" s="315" t="str">
        <f t="shared" si="22"/>
        <v>NO</v>
      </c>
      <c r="S403" s="316" t="str">
        <f t="shared" si="23"/>
        <v>Bajo</v>
      </c>
      <c r="T403" s="120"/>
    </row>
    <row r="404" spans="1:20" s="119" customFormat="1" ht="32.1" customHeight="1">
      <c r="A404" s="404" t="s">
        <v>215</v>
      </c>
      <c r="B404" s="340" t="s">
        <v>1239</v>
      </c>
      <c r="C404" s="379" t="s">
        <v>1240</v>
      </c>
      <c r="D404" s="399">
        <v>83</v>
      </c>
      <c r="E404" s="47">
        <v>0</v>
      </c>
      <c r="F404" s="47"/>
      <c r="G404" s="47">
        <v>21</v>
      </c>
      <c r="H404" s="47"/>
      <c r="I404" s="47"/>
      <c r="J404" s="47">
        <v>1.97</v>
      </c>
      <c r="K404" s="47"/>
      <c r="L404" s="47"/>
      <c r="M404" s="47"/>
      <c r="N404" s="47">
        <v>0</v>
      </c>
      <c r="O404" s="47"/>
      <c r="P404" s="47"/>
      <c r="Q404" s="314">
        <f t="shared" si="24"/>
        <v>5.7424999999999997</v>
      </c>
      <c r="R404" s="315" t="str">
        <f t="shared" si="22"/>
        <v>NO</v>
      </c>
      <c r="S404" s="316" t="str">
        <f t="shared" si="23"/>
        <v>Bajo</v>
      </c>
      <c r="T404" s="120"/>
    </row>
    <row r="405" spans="1:20" s="119" customFormat="1" ht="32.1" customHeight="1">
      <c r="A405" s="404" t="s">
        <v>215</v>
      </c>
      <c r="B405" s="340" t="s">
        <v>1241</v>
      </c>
      <c r="C405" s="379" t="s">
        <v>1242</v>
      </c>
      <c r="D405" s="399">
        <v>32</v>
      </c>
      <c r="E405" s="47"/>
      <c r="F405" s="47"/>
      <c r="G405" s="47"/>
      <c r="H405" s="47">
        <v>0</v>
      </c>
      <c r="I405" s="47"/>
      <c r="J405" s="47"/>
      <c r="K405" s="47"/>
      <c r="L405" s="47">
        <v>21.7</v>
      </c>
      <c r="M405" s="47"/>
      <c r="N405" s="47"/>
      <c r="O405" s="47"/>
      <c r="P405" s="47">
        <v>21.7</v>
      </c>
      <c r="Q405" s="314">
        <f t="shared" si="24"/>
        <v>14.466666666666667</v>
      </c>
      <c r="R405" s="315" t="str">
        <f t="shared" si="22"/>
        <v>NO</v>
      </c>
      <c r="S405" s="316" t="str">
        <f t="shared" si="23"/>
        <v>Medio</v>
      </c>
      <c r="T405" s="120"/>
    </row>
    <row r="406" spans="1:20" s="119" customFormat="1" ht="32.1" customHeight="1">
      <c r="A406" s="404" t="s">
        <v>215</v>
      </c>
      <c r="B406" s="340" t="s">
        <v>76</v>
      </c>
      <c r="C406" s="379" t="s">
        <v>1243</v>
      </c>
      <c r="D406" s="399">
        <v>254</v>
      </c>
      <c r="E406" s="47"/>
      <c r="F406" s="47"/>
      <c r="G406" s="47"/>
      <c r="H406" s="47">
        <v>0</v>
      </c>
      <c r="I406" s="47"/>
      <c r="J406" s="47"/>
      <c r="K406" s="47"/>
      <c r="L406" s="47">
        <v>21.7</v>
      </c>
      <c r="M406" s="47"/>
      <c r="N406" s="47"/>
      <c r="O406" s="47"/>
      <c r="P406" s="47">
        <v>21.7</v>
      </c>
      <c r="Q406" s="314">
        <f t="shared" si="24"/>
        <v>14.466666666666667</v>
      </c>
      <c r="R406" s="315" t="str">
        <f t="shared" si="22"/>
        <v>NO</v>
      </c>
      <c r="S406" s="316" t="str">
        <f t="shared" si="23"/>
        <v>Medio</v>
      </c>
      <c r="T406" s="120"/>
    </row>
    <row r="407" spans="1:20" s="119" customFormat="1" ht="32.1" customHeight="1">
      <c r="A407" s="404" t="s">
        <v>216</v>
      </c>
      <c r="B407" s="332" t="s">
        <v>3889</v>
      </c>
      <c r="C407" s="381" t="s">
        <v>3890</v>
      </c>
      <c r="D407" s="346">
        <v>160</v>
      </c>
      <c r="E407" s="47"/>
      <c r="F407" s="47">
        <v>0</v>
      </c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314">
        <f t="shared" si="24"/>
        <v>0</v>
      </c>
      <c r="R407" s="315" t="str">
        <f t="shared" si="22"/>
        <v>SI</v>
      </c>
      <c r="S407" s="316" t="str">
        <f t="shared" si="23"/>
        <v>Sin Riesgo</v>
      </c>
      <c r="T407" s="127"/>
    </row>
    <row r="408" spans="1:20" s="119" customFormat="1" ht="32.1" customHeight="1">
      <c r="A408" s="404" t="s">
        <v>216</v>
      </c>
      <c r="B408" s="381" t="s">
        <v>3902</v>
      </c>
      <c r="C408" s="381" t="s">
        <v>3903</v>
      </c>
      <c r="D408" s="346">
        <v>25</v>
      </c>
      <c r="E408" s="47"/>
      <c r="F408" s="47"/>
      <c r="G408" s="47"/>
      <c r="H408" s="47"/>
      <c r="I408" s="47"/>
      <c r="J408" s="47"/>
      <c r="K408" s="47"/>
      <c r="L408" s="47">
        <v>53</v>
      </c>
      <c r="M408" s="47"/>
      <c r="N408" s="47"/>
      <c r="O408" s="47"/>
      <c r="P408" s="47"/>
      <c r="Q408" s="314">
        <f t="shared" si="24"/>
        <v>53</v>
      </c>
      <c r="R408" s="315" t="str">
        <f t="shared" si="22"/>
        <v>NO</v>
      </c>
      <c r="S408" s="316" t="str">
        <f t="shared" si="23"/>
        <v>Alto</v>
      </c>
      <c r="T408" s="127"/>
    </row>
    <row r="409" spans="1:20" s="119" customFormat="1" ht="32.1" customHeight="1">
      <c r="A409" s="404" t="s">
        <v>216</v>
      </c>
      <c r="B409" s="381" t="s">
        <v>3895</v>
      </c>
      <c r="C409" s="381" t="s">
        <v>4237</v>
      </c>
      <c r="D409" s="346">
        <v>20</v>
      </c>
      <c r="E409" s="47"/>
      <c r="F409" s="47">
        <v>53</v>
      </c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314">
        <f t="shared" si="24"/>
        <v>53</v>
      </c>
      <c r="R409" s="315" t="str">
        <f t="shared" si="22"/>
        <v>NO</v>
      </c>
      <c r="S409" s="316" t="str">
        <f t="shared" si="23"/>
        <v>Alto</v>
      </c>
      <c r="T409" s="127"/>
    </row>
    <row r="410" spans="1:20" s="119" customFormat="1" ht="32.1" customHeight="1">
      <c r="A410" s="404" t="s">
        <v>216</v>
      </c>
      <c r="B410" s="381" t="s">
        <v>3899</v>
      </c>
      <c r="C410" s="381" t="s">
        <v>3900</v>
      </c>
      <c r="D410" s="346">
        <v>37</v>
      </c>
      <c r="E410" s="47"/>
      <c r="F410" s="47"/>
      <c r="G410" s="47"/>
      <c r="H410" s="47"/>
      <c r="I410" s="47"/>
      <c r="J410" s="47"/>
      <c r="K410" s="47"/>
      <c r="L410" s="47"/>
      <c r="M410" s="47"/>
      <c r="N410" s="47">
        <v>53</v>
      </c>
      <c r="O410" s="47"/>
      <c r="P410" s="47"/>
      <c r="Q410" s="314">
        <f t="shared" si="24"/>
        <v>53</v>
      </c>
      <c r="R410" s="315" t="str">
        <f t="shared" si="22"/>
        <v>NO</v>
      </c>
      <c r="S410" s="316" t="str">
        <f t="shared" si="23"/>
        <v>Alto</v>
      </c>
      <c r="T410" s="127"/>
    </row>
    <row r="411" spans="1:20" s="119" customFormat="1" ht="32.1" customHeight="1">
      <c r="A411" s="404" t="s">
        <v>216</v>
      </c>
      <c r="B411" s="381" t="s">
        <v>3893</v>
      </c>
      <c r="C411" s="381" t="s">
        <v>3894</v>
      </c>
      <c r="D411" s="346">
        <v>18</v>
      </c>
      <c r="E411" s="47"/>
      <c r="F411" s="47"/>
      <c r="G411" s="47"/>
      <c r="H411" s="47"/>
      <c r="I411" s="47">
        <v>53</v>
      </c>
      <c r="J411" s="47"/>
      <c r="K411" s="47"/>
      <c r="L411" s="47"/>
      <c r="M411" s="47"/>
      <c r="N411" s="47"/>
      <c r="O411" s="47"/>
      <c r="P411" s="47"/>
      <c r="Q411" s="314">
        <f t="shared" si="24"/>
        <v>53</v>
      </c>
      <c r="R411" s="315" t="str">
        <f t="shared" si="22"/>
        <v>NO</v>
      </c>
      <c r="S411" s="316" t="str">
        <f t="shared" si="23"/>
        <v>Alto</v>
      </c>
      <c r="T411" s="127"/>
    </row>
    <row r="412" spans="1:20" s="119" customFormat="1" ht="32.1" customHeight="1">
      <c r="A412" s="404" t="s">
        <v>216</v>
      </c>
      <c r="B412" s="381" t="s">
        <v>3250</v>
      </c>
      <c r="C412" s="381" t="s">
        <v>3897</v>
      </c>
      <c r="D412" s="346">
        <v>39</v>
      </c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>
        <v>53</v>
      </c>
      <c r="P412" s="47"/>
      <c r="Q412" s="314">
        <f t="shared" si="24"/>
        <v>53</v>
      </c>
      <c r="R412" s="315" t="str">
        <f t="shared" si="22"/>
        <v>NO</v>
      </c>
      <c r="S412" s="316" t="str">
        <f t="shared" si="23"/>
        <v>Alto</v>
      </c>
      <c r="T412" s="127"/>
    </row>
    <row r="413" spans="1:20" s="119" customFormat="1" ht="32.1" customHeight="1">
      <c r="A413" s="404" t="s">
        <v>216</v>
      </c>
      <c r="B413" s="381" t="s">
        <v>3891</v>
      </c>
      <c r="C413" s="381" t="s">
        <v>3892</v>
      </c>
      <c r="D413" s="346">
        <v>19</v>
      </c>
      <c r="E413" s="47"/>
      <c r="F413" s="47"/>
      <c r="G413" s="47"/>
      <c r="H413" s="47"/>
      <c r="I413" s="47"/>
      <c r="J413" s="47"/>
      <c r="K413" s="47"/>
      <c r="L413" s="47"/>
      <c r="M413" s="47">
        <v>53</v>
      </c>
      <c r="N413" s="47"/>
      <c r="O413" s="47"/>
      <c r="P413" s="47"/>
      <c r="Q413" s="314">
        <f t="shared" si="24"/>
        <v>53</v>
      </c>
      <c r="R413" s="315" t="str">
        <f t="shared" si="22"/>
        <v>NO</v>
      </c>
      <c r="S413" s="316" t="str">
        <f t="shared" si="23"/>
        <v>Alto</v>
      </c>
      <c r="T413" s="127"/>
    </row>
    <row r="414" spans="1:20" s="119" customFormat="1" ht="32.1" customHeight="1">
      <c r="A414" s="404" t="s">
        <v>216</v>
      </c>
      <c r="B414" s="381" t="s">
        <v>1716</v>
      </c>
      <c r="C414" s="381" t="s">
        <v>3898</v>
      </c>
      <c r="D414" s="399">
        <v>22</v>
      </c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>
        <v>53</v>
      </c>
      <c r="P414" s="47"/>
      <c r="Q414" s="314">
        <f t="shared" si="24"/>
        <v>53</v>
      </c>
      <c r="R414" s="315" t="str">
        <f t="shared" si="22"/>
        <v>NO</v>
      </c>
      <c r="S414" s="316" t="str">
        <f t="shared" si="23"/>
        <v>Alto</v>
      </c>
      <c r="T414" s="127"/>
    </row>
    <row r="415" spans="1:20" s="100" customFormat="1" ht="32.1" customHeight="1">
      <c r="A415" s="404" t="s">
        <v>216</v>
      </c>
      <c r="B415" s="381" t="s">
        <v>3896</v>
      </c>
      <c r="C415" s="381" t="s">
        <v>4005</v>
      </c>
      <c r="D415" s="346">
        <v>26</v>
      </c>
      <c r="E415" s="47"/>
      <c r="F415" s="47"/>
      <c r="G415" s="47"/>
      <c r="H415" s="47"/>
      <c r="I415" s="47"/>
      <c r="J415" s="47"/>
      <c r="K415" s="47"/>
      <c r="L415" s="47">
        <v>53</v>
      </c>
      <c r="M415" s="47"/>
      <c r="N415" s="47"/>
      <c r="O415" s="47"/>
      <c r="P415" s="47"/>
      <c r="Q415" s="314">
        <f>AVERAGE(E415:P415)</f>
        <v>53</v>
      </c>
      <c r="R415" s="315" t="str">
        <f t="shared" si="22"/>
        <v>NO</v>
      </c>
      <c r="S415" s="316" t="str">
        <f t="shared" si="23"/>
        <v>Alto</v>
      </c>
      <c r="T415" s="128"/>
    </row>
    <row r="416" spans="1:20" ht="32.1" customHeight="1">
      <c r="A416" s="404" t="s">
        <v>216</v>
      </c>
      <c r="B416" s="381" t="s">
        <v>3904</v>
      </c>
      <c r="C416" s="381" t="s">
        <v>4238</v>
      </c>
      <c r="D416" s="346">
        <v>36</v>
      </c>
      <c r="E416" s="47"/>
      <c r="F416" s="47"/>
      <c r="G416" s="47"/>
      <c r="H416" s="47"/>
      <c r="I416" s="47"/>
      <c r="J416" s="47"/>
      <c r="K416" s="47"/>
      <c r="L416" s="47"/>
      <c r="M416" s="47">
        <v>53</v>
      </c>
      <c r="N416" s="47"/>
      <c r="O416" s="47"/>
      <c r="P416" s="47"/>
      <c r="Q416" s="314">
        <f>AVERAGE(E416:P416)</f>
        <v>53</v>
      </c>
      <c r="R416" s="315" t="str">
        <f t="shared" si="22"/>
        <v>NO</v>
      </c>
      <c r="S416" s="316" t="str">
        <f t="shared" si="23"/>
        <v>Alto</v>
      </c>
      <c r="T416" s="122"/>
    </row>
    <row r="417" spans="1:20" ht="32.1" customHeight="1">
      <c r="A417" s="404" t="s">
        <v>216</v>
      </c>
      <c r="B417" s="381" t="s">
        <v>425</v>
      </c>
      <c r="C417" s="381" t="s">
        <v>3901</v>
      </c>
      <c r="D417" s="399">
        <v>25</v>
      </c>
      <c r="E417" s="47"/>
      <c r="F417" s="47"/>
      <c r="G417" s="47"/>
      <c r="H417" s="47"/>
      <c r="I417" s="47"/>
      <c r="J417" s="47"/>
      <c r="K417" s="47">
        <v>53</v>
      </c>
      <c r="L417" s="47"/>
      <c r="M417" s="47"/>
      <c r="N417" s="47"/>
      <c r="O417" s="47"/>
      <c r="P417" s="47"/>
      <c r="Q417" s="314">
        <f>AVERAGE(E417:P417)</f>
        <v>53</v>
      </c>
      <c r="R417" s="315" t="str">
        <f t="shared" si="22"/>
        <v>NO</v>
      </c>
      <c r="S417" s="316" t="str">
        <f t="shared" si="23"/>
        <v>Alto</v>
      </c>
      <c r="T417" s="122"/>
    </row>
    <row r="418" spans="1:20" ht="42.75" customHeight="1">
      <c r="A418" s="404" t="s">
        <v>80</v>
      </c>
      <c r="B418" s="340" t="s">
        <v>4239</v>
      </c>
      <c r="C418" s="340" t="s">
        <v>4240</v>
      </c>
      <c r="D418" s="346">
        <v>624</v>
      </c>
      <c r="E418" s="47"/>
      <c r="F418" s="47"/>
      <c r="G418" s="47"/>
      <c r="H418" s="47"/>
      <c r="I418" s="47"/>
      <c r="J418" s="47"/>
      <c r="K418" s="47">
        <v>3.5</v>
      </c>
      <c r="L418" s="47">
        <v>30.08</v>
      </c>
      <c r="M418" s="47">
        <v>13.95</v>
      </c>
      <c r="N418" s="47">
        <v>11.77</v>
      </c>
      <c r="O418" s="47">
        <v>23.02</v>
      </c>
      <c r="P418" s="47">
        <v>13.95</v>
      </c>
      <c r="Q418" s="314">
        <f t="shared" si="24"/>
        <v>16.044999999999998</v>
      </c>
      <c r="R418" s="315" t="str">
        <f t="shared" ref="R418:R476" si="25">IF(Q418&lt;5,"SI","NO")</f>
        <v>NO</v>
      </c>
      <c r="S418" s="316" t="str">
        <f t="shared" si="23"/>
        <v>Medio</v>
      </c>
    </row>
    <row r="419" spans="1:20" ht="32.1" customHeight="1">
      <c r="A419" s="404" t="s">
        <v>80</v>
      </c>
      <c r="B419" s="340" t="s">
        <v>1248</v>
      </c>
      <c r="C419" s="340" t="s">
        <v>4241</v>
      </c>
      <c r="D419" s="346">
        <v>137</v>
      </c>
      <c r="E419" s="47"/>
      <c r="F419" s="47"/>
      <c r="G419" s="47"/>
      <c r="H419" s="47"/>
      <c r="I419" s="47"/>
      <c r="J419" s="47"/>
      <c r="K419" s="47">
        <v>0</v>
      </c>
      <c r="L419" s="47">
        <v>0</v>
      </c>
      <c r="M419" s="47">
        <v>0</v>
      </c>
      <c r="N419" s="47">
        <v>3.48</v>
      </c>
      <c r="O419" s="47">
        <v>0</v>
      </c>
      <c r="P419" s="47">
        <v>0</v>
      </c>
      <c r="Q419" s="314">
        <f t="shared" si="24"/>
        <v>0.57999999999999996</v>
      </c>
      <c r="R419" s="315" t="str">
        <f t="shared" si="25"/>
        <v>SI</v>
      </c>
      <c r="S419" s="316" t="str">
        <f t="shared" si="23"/>
        <v>Sin Riesgo</v>
      </c>
    </row>
    <row r="420" spans="1:20" ht="32.1" customHeight="1">
      <c r="A420" s="404" t="s">
        <v>80</v>
      </c>
      <c r="B420" s="340" t="s">
        <v>10</v>
      </c>
      <c r="C420" s="340" t="s">
        <v>4242</v>
      </c>
      <c r="D420" s="346">
        <v>149</v>
      </c>
      <c r="E420" s="47"/>
      <c r="F420" s="47"/>
      <c r="G420" s="47"/>
      <c r="H420" s="47"/>
      <c r="I420" s="47"/>
      <c r="J420" s="47"/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314">
        <f t="shared" si="24"/>
        <v>0</v>
      </c>
      <c r="R420" s="315" t="str">
        <f t="shared" si="25"/>
        <v>SI</v>
      </c>
      <c r="S420" s="316" t="str">
        <f t="shared" si="23"/>
        <v>Sin Riesgo</v>
      </c>
    </row>
    <row r="421" spans="1:20" ht="32.1" customHeight="1">
      <c r="A421" s="404" t="s">
        <v>80</v>
      </c>
      <c r="B421" s="340" t="s">
        <v>1834</v>
      </c>
      <c r="C421" s="340" t="s">
        <v>1247</v>
      </c>
      <c r="D421" s="346">
        <v>463</v>
      </c>
      <c r="E421" s="47"/>
      <c r="F421" s="47"/>
      <c r="G421" s="47"/>
      <c r="H421" s="47"/>
      <c r="I421" s="47"/>
      <c r="J421" s="47"/>
      <c r="K421" s="47">
        <v>26.16</v>
      </c>
      <c r="L421" s="47">
        <v>17.440000000000001</v>
      </c>
      <c r="M421" s="47">
        <v>61.04</v>
      </c>
      <c r="N421" s="47">
        <v>8.7200000000000006</v>
      </c>
      <c r="O421" s="47">
        <v>35</v>
      </c>
      <c r="P421" s="47">
        <v>26.16</v>
      </c>
      <c r="Q421" s="314">
        <f t="shared" si="24"/>
        <v>29.08666666666667</v>
      </c>
      <c r="R421" s="315" t="str">
        <f t="shared" si="25"/>
        <v>NO</v>
      </c>
      <c r="S421" s="316" t="str">
        <f t="shared" si="23"/>
        <v>Medio</v>
      </c>
    </row>
    <row r="422" spans="1:20" ht="32.1" customHeight="1">
      <c r="A422" s="404" t="s">
        <v>80</v>
      </c>
      <c r="B422" s="340" t="s">
        <v>1248</v>
      </c>
      <c r="C422" s="340" t="s">
        <v>4243</v>
      </c>
      <c r="D422" s="346">
        <v>137</v>
      </c>
      <c r="E422" s="47"/>
      <c r="F422" s="47"/>
      <c r="G422" s="47"/>
      <c r="H422" s="47"/>
      <c r="I422" s="47"/>
      <c r="J422" s="47"/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314">
        <f t="shared" si="24"/>
        <v>0</v>
      </c>
      <c r="R422" s="315" t="str">
        <f t="shared" si="25"/>
        <v>SI</v>
      </c>
      <c r="S422" s="316" t="str">
        <f t="shared" si="23"/>
        <v>Sin Riesgo</v>
      </c>
    </row>
    <row r="423" spans="1:20" ht="32.1" customHeight="1">
      <c r="A423" s="404" t="s">
        <v>80</v>
      </c>
      <c r="B423" s="340" t="s">
        <v>4244</v>
      </c>
      <c r="C423" s="340" t="s">
        <v>4245</v>
      </c>
      <c r="D423" s="346">
        <v>272</v>
      </c>
      <c r="E423" s="47"/>
      <c r="F423" s="47"/>
      <c r="G423" s="47"/>
      <c r="H423" s="47"/>
      <c r="I423" s="47"/>
      <c r="J423" s="47"/>
      <c r="K423" s="47">
        <v>20.93</v>
      </c>
      <c r="L423" s="47">
        <v>12.2</v>
      </c>
      <c r="M423" s="47">
        <v>0</v>
      </c>
      <c r="N423" s="47">
        <v>0</v>
      </c>
      <c r="O423" s="47">
        <v>0</v>
      </c>
      <c r="P423" s="47">
        <v>0</v>
      </c>
      <c r="Q423" s="314">
        <f t="shared" si="24"/>
        <v>5.5216666666666656</v>
      </c>
      <c r="R423" s="315" t="str">
        <f t="shared" si="25"/>
        <v>NO</v>
      </c>
      <c r="S423" s="316" t="str">
        <f t="shared" si="23"/>
        <v>Bajo</v>
      </c>
    </row>
    <row r="424" spans="1:20" ht="32.1" customHeight="1">
      <c r="A424" s="404" t="s">
        <v>80</v>
      </c>
      <c r="B424" s="340" t="s">
        <v>4246</v>
      </c>
      <c r="C424" s="340" t="s">
        <v>4247</v>
      </c>
      <c r="D424" s="346">
        <v>1.0449999999999999</v>
      </c>
      <c r="E424" s="47"/>
      <c r="F424" s="47"/>
      <c r="G424" s="47"/>
      <c r="H424" s="47"/>
      <c r="I424" s="47"/>
      <c r="J424" s="47"/>
      <c r="K424" s="47">
        <v>4.3600000000000003</v>
      </c>
      <c r="L424" s="47">
        <v>0</v>
      </c>
      <c r="M424" s="47">
        <v>17.440000000000001</v>
      </c>
      <c r="N424" s="47">
        <v>0</v>
      </c>
      <c r="O424" s="47">
        <v>3.48</v>
      </c>
      <c r="P424" s="47">
        <v>0</v>
      </c>
      <c r="Q424" s="314">
        <f t="shared" si="24"/>
        <v>4.2133333333333338</v>
      </c>
      <c r="R424" s="315" t="str">
        <f t="shared" si="25"/>
        <v>SI</v>
      </c>
      <c r="S424" s="316" t="str">
        <f t="shared" si="23"/>
        <v>Sin Riesgo</v>
      </c>
    </row>
    <row r="425" spans="1:20" ht="32.1" customHeight="1">
      <c r="A425" s="404" t="s">
        <v>80</v>
      </c>
      <c r="B425" s="340" t="s">
        <v>4248</v>
      </c>
      <c r="C425" s="340" t="s">
        <v>4249</v>
      </c>
      <c r="D425" s="346">
        <v>483</v>
      </c>
      <c r="E425" s="47"/>
      <c r="F425" s="47"/>
      <c r="G425" s="47"/>
      <c r="H425" s="47"/>
      <c r="I425" s="47"/>
      <c r="J425" s="47"/>
      <c r="K425" s="47">
        <v>0</v>
      </c>
      <c r="L425" s="47">
        <v>17.440000000000001</v>
      </c>
      <c r="M425" s="47">
        <v>17.440000000000001</v>
      </c>
      <c r="N425" s="47">
        <v>0</v>
      </c>
      <c r="O425" s="47">
        <v>26.16</v>
      </c>
      <c r="P425" s="47">
        <v>17.440000000000001</v>
      </c>
      <c r="Q425" s="314">
        <f>AVERAGE(E425:P425)</f>
        <v>13.08</v>
      </c>
      <c r="R425" s="315" t="str">
        <f>IF(Q425&lt;5,"SI","NO")</f>
        <v>NO</v>
      </c>
      <c r="S425" s="316" t="str">
        <f>IF(Q425&lt;5,"Sin Riesgo",IF(Q425 &lt;=14,"Bajo",IF(Q425&lt;=35,"Medio",IF(Q425&lt;=80,"Alto","Inviable Sanitariamente"))))</f>
        <v>Bajo</v>
      </c>
    </row>
    <row r="426" spans="1:20" ht="32.1" customHeight="1">
      <c r="A426" s="404" t="s">
        <v>80</v>
      </c>
      <c r="B426" s="340" t="s">
        <v>1246</v>
      </c>
      <c r="C426" s="340" t="s">
        <v>4250</v>
      </c>
      <c r="D426" s="346">
        <v>455</v>
      </c>
      <c r="E426" s="47"/>
      <c r="F426" s="47"/>
      <c r="G426" s="47"/>
      <c r="H426" s="47"/>
      <c r="I426" s="47"/>
      <c r="J426" s="47"/>
      <c r="K426" s="47">
        <v>0</v>
      </c>
      <c r="L426" s="47">
        <v>0</v>
      </c>
      <c r="M426" s="47">
        <v>0</v>
      </c>
      <c r="N426" s="47">
        <v>24.41</v>
      </c>
      <c r="O426" s="47">
        <v>16.86</v>
      </c>
      <c r="P426" s="47">
        <v>0</v>
      </c>
      <c r="Q426" s="314">
        <f>AVERAGE(E426:P426)</f>
        <v>6.878333333333333</v>
      </c>
      <c r="R426" s="315" t="str">
        <f>IF(Q426&lt;5,"SI","NO")</f>
        <v>NO</v>
      </c>
      <c r="S426" s="316" t="str">
        <f>IF(Q426&lt;5,"Sin Riesgo",IF(Q426 &lt;=14,"Bajo",IF(Q426&lt;=35,"Medio",IF(Q426&lt;=80,"Alto","Inviable Sanitariamente"))))</f>
        <v>Bajo</v>
      </c>
    </row>
    <row r="427" spans="1:20" ht="32.1" customHeight="1">
      <c r="A427" s="404" t="s">
        <v>80</v>
      </c>
      <c r="B427" s="340" t="s">
        <v>4251</v>
      </c>
      <c r="C427" s="340" t="s">
        <v>4252</v>
      </c>
      <c r="D427" s="346">
        <v>954</v>
      </c>
      <c r="E427" s="47"/>
      <c r="F427" s="47"/>
      <c r="G427" s="47"/>
      <c r="H427" s="47"/>
      <c r="I427" s="47"/>
      <c r="J427" s="47"/>
      <c r="K427" s="47">
        <v>12.64</v>
      </c>
      <c r="L427" s="47">
        <v>12.2</v>
      </c>
      <c r="M427" s="47">
        <v>6.1</v>
      </c>
      <c r="N427" s="47">
        <v>7.84</v>
      </c>
      <c r="O427" s="47">
        <v>6.61</v>
      </c>
      <c r="P427" s="47">
        <v>18.600000000000001</v>
      </c>
      <c r="Q427" s="314">
        <f t="shared" si="24"/>
        <v>10.665000000000001</v>
      </c>
      <c r="R427" s="315" t="str">
        <f t="shared" si="25"/>
        <v>NO</v>
      </c>
      <c r="S427" s="316" t="str">
        <f t="shared" si="23"/>
        <v>Bajo</v>
      </c>
    </row>
    <row r="428" spans="1:20" ht="32.1" customHeight="1">
      <c r="A428" s="404" t="s">
        <v>80</v>
      </c>
      <c r="B428" s="340" t="s">
        <v>4253</v>
      </c>
      <c r="C428" s="340" t="s">
        <v>4254</v>
      </c>
      <c r="D428" s="399">
        <v>1.0880000000000001</v>
      </c>
      <c r="E428" s="47"/>
      <c r="F428" s="47"/>
      <c r="G428" s="47"/>
      <c r="H428" s="47"/>
      <c r="I428" s="47"/>
      <c r="J428" s="47"/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314">
        <f t="shared" si="24"/>
        <v>0</v>
      </c>
      <c r="R428" s="315" t="str">
        <f t="shared" si="25"/>
        <v>SI</v>
      </c>
      <c r="S428" s="316" t="str">
        <f t="shared" si="23"/>
        <v>Sin Riesgo</v>
      </c>
    </row>
    <row r="429" spans="1:20" ht="32.1" customHeight="1">
      <c r="A429" s="404" t="s">
        <v>80</v>
      </c>
      <c r="B429" s="340" t="s">
        <v>4255</v>
      </c>
      <c r="C429" s="340" t="s">
        <v>4256</v>
      </c>
      <c r="D429" s="399">
        <v>1.0880000000000001</v>
      </c>
      <c r="E429" s="47"/>
      <c r="F429" s="47"/>
      <c r="G429" s="47"/>
      <c r="H429" s="47"/>
      <c r="I429" s="47"/>
      <c r="J429" s="47"/>
      <c r="K429" s="47">
        <v>0</v>
      </c>
      <c r="L429" s="47">
        <v>0</v>
      </c>
      <c r="M429" s="47">
        <v>6.97</v>
      </c>
      <c r="N429" s="47">
        <v>0</v>
      </c>
      <c r="O429" s="47">
        <v>12.35</v>
      </c>
      <c r="P429" s="47">
        <v>0</v>
      </c>
      <c r="Q429" s="314">
        <f t="shared" ref="Q429:Q495" si="26">AVERAGE(E429:P429)</f>
        <v>3.22</v>
      </c>
      <c r="R429" s="315" t="str">
        <f t="shared" si="25"/>
        <v>SI</v>
      </c>
      <c r="S429" s="316" t="str">
        <f t="shared" si="23"/>
        <v>Sin Riesgo</v>
      </c>
    </row>
    <row r="430" spans="1:20" ht="32.1" customHeight="1">
      <c r="A430" s="404" t="s">
        <v>80</v>
      </c>
      <c r="B430" s="340" t="s">
        <v>4257</v>
      </c>
      <c r="C430" s="340" t="s">
        <v>4258</v>
      </c>
      <c r="D430" s="399">
        <v>1.0880000000000001</v>
      </c>
      <c r="E430" s="47"/>
      <c r="F430" s="47"/>
      <c r="G430" s="47"/>
      <c r="H430" s="47"/>
      <c r="I430" s="47"/>
      <c r="J430" s="47"/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314">
        <f t="shared" si="26"/>
        <v>0</v>
      </c>
      <c r="R430" s="315" t="str">
        <f t="shared" si="25"/>
        <v>SI</v>
      </c>
      <c r="S430" s="316" t="str">
        <f t="shared" si="23"/>
        <v>Sin Riesgo</v>
      </c>
    </row>
    <row r="431" spans="1:20" ht="32.1" customHeight="1">
      <c r="A431" s="404" t="s">
        <v>80</v>
      </c>
      <c r="B431" s="340" t="s">
        <v>4259</v>
      </c>
      <c r="C431" s="340" t="s">
        <v>4260</v>
      </c>
      <c r="D431" s="346">
        <v>139</v>
      </c>
      <c r="E431" s="47"/>
      <c r="F431" s="47"/>
      <c r="G431" s="47"/>
      <c r="H431" s="47"/>
      <c r="I431" s="47"/>
      <c r="J431" s="47"/>
      <c r="K431" s="47">
        <v>0</v>
      </c>
      <c r="L431" s="47">
        <v>0</v>
      </c>
      <c r="M431" s="47">
        <v>0</v>
      </c>
      <c r="N431" s="47">
        <v>7.22</v>
      </c>
      <c r="O431" s="47">
        <v>24.41</v>
      </c>
      <c r="P431" s="47">
        <v>0</v>
      </c>
      <c r="Q431" s="314">
        <f t="shared" si="26"/>
        <v>5.2716666666666665</v>
      </c>
      <c r="R431" s="315" t="str">
        <f t="shared" si="25"/>
        <v>NO</v>
      </c>
      <c r="S431" s="316" t="str">
        <f t="shared" si="23"/>
        <v>Bajo</v>
      </c>
    </row>
    <row r="432" spans="1:20" ht="32.1" customHeight="1">
      <c r="A432" s="404" t="s">
        <v>80</v>
      </c>
      <c r="B432" s="340" t="s">
        <v>4261</v>
      </c>
      <c r="C432" s="340" t="s">
        <v>4262</v>
      </c>
      <c r="D432" s="346">
        <v>86</v>
      </c>
      <c r="E432" s="47"/>
      <c r="F432" s="47"/>
      <c r="G432" s="47"/>
      <c r="H432" s="47"/>
      <c r="I432" s="47"/>
      <c r="J432" s="47"/>
      <c r="K432" s="47">
        <v>66.86</v>
      </c>
      <c r="L432" s="47">
        <v>53.19</v>
      </c>
      <c r="M432" s="47">
        <v>35.75</v>
      </c>
      <c r="N432" s="47">
        <v>39.24</v>
      </c>
      <c r="O432" s="47">
        <v>29.26</v>
      </c>
      <c r="P432" s="47">
        <v>43.6</v>
      </c>
      <c r="Q432" s="314">
        <f t="shared" si="26"/>
        <v>44.650000000000006</v>
      </c>
      <c r="R432" s="315" t="str">
        <f t="shared" si="25"/>
        <v>NO</v>
      </c>
      <c r="S432" s="316" t="str">
        <f t="shared" si="23"/>
        <v>Alto</v>
      </c>
    </row>
    <row r="433" spans="1:19" ht="32.1" customHeight="1">
      <c r="A433" s="404" t="s">
        <v>80</v>
      </c>
      <c r="B433" s="340" t="s">
        <v>1582</v>
      </c>
      <c r="C433" s="340" t="s">
        <v>1558</v>
      </c>
      <c r="D433" s="346">
        <v>304</v>
      </c>
      <c r="E433" s="47"/>
      <c r="F433" s="47"/>
      <c r="G433" s="47"/>
      <c r="H433" s="47"/>
      <c r="I433" s="47"/>
      <c r="J433" s="47"/>
      <c r="K433" s="47">
        <v>0</v>
      </c>
      <c r="L433" s="47">
        <v>12.2</v>
      </c>
      <c r="M433" s="47">
        <v>0</v>
      </c>
      <c r="N433" s="47">
        <v>12.2</v>
      </c>
      <c r="O433" s="47">
        <v>33.130000000000003</v>
      </c>
      <c r="P433" s="47">
        <v>0</v>
      </c>
      <c r="Q433" s="314">
        <f t="shared" si="26"/>
        <v>9.5883333333333329</v>
      </c>
      <c r="R433" s="315" t="str">
        <f t="shared" si="25"/>
        <v>NO</v>
      </c>
      <c r="S433" s="316" t="str">
        <f t="shared" si="23"/>
        <v>Bajo</v>
      </c>
    </row>
    <row r="434" spans="1:19" ht="32.1" customHeight="1">
      <c r="A434" s="404" t="s">
        <v>80</v>
      </c>
      <c r="B434" s="340" t="s">
        <v>4263</v>
      </c>
      <c r="C434" s="340" t="s">
        <v>4264</v>
      </c>
      <c r="D434" s="346">
        <v>421</v>
      </c>
      <c r="E434" s="47"/>
      <c r="F434" s="47"/>
      <c r="G434" s="47"/>
      <c r="H434" s="47"/>
      <c r="I434" s="47"/>
      <c r="J434" s="47"/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314">
        <f t="shared" si="26"/>
        <v>0</v>
      </c>
      <c r="R434" s="315" t="str">
        <f t="shared" si="25"/>
        <v>SI</v>
      </c>
      <c r="S434" s="316" t="str">
        <f t="shared" si="23"/>
        <v>Sin Riesgo</v>
      </c>
    </row>
    <row r="435" spans="1:19" ht="32.1" customHeight="1">
      <c r="A435" s="404" t="s">
        <v>80</v>
      </c>
      <c r="B435" s="340" t="s">
        <v>4265</v>
      </c>
      <c r="C435" s="340" t="s">
        <v>4266</v>
      </c>
      <c r="D435" s="399">
        <v>2.2229999999999999</v>
      </c>
      <c r="E435" s="47"/>
      <c r="F435" s="47"/>
      <c r="G435" s="47"/>
      <c r="H435" s="47"/>
      <c r="I435" s="47"/>
      <c r="J435" s="47"/>
      <c r="K435" s="47">
        <v>0</v>
      </c>
      <c r="L435" s="47">
        <v>0</v>
      </c>
      <c r="M435" s="47">
        <v>0</v>
      </c>
      <c r="N435" s="47">
        <v>0</v>
      </c>
      <c r="O435" s="47">
        <v>21.62</v>
      </c>
      <c r="P435" s="47">
        <v>0</v>
      </c>
      <c r="Q435" s="314">
        <f t="shared" si="26"/>
        <v>3.6033333333333335</v>
      </c>
      <c r="R435" s="315" t="str">
        <f t="shared" si="25"/>
        <v>SI</v>
      </c>
      <c r="S435" s="316" t="str">
        <f t="shared" si="23"/>
        <v>Sin Riesgo</v>
      </c>
    </row>
    <row r="436" spans="1:19" ht="32.1" customHeight="1">
      <c r="A436" s="404" t="s">
        <v>80</v>
      </c>
      <c r="B436" s="340" t="s">
        <v>2065</v>
      </c>
      <c r="C436" s="340" t="s">
        <v>4267</v>
      </c>
      <c r="D436" s="346">
        <v>693</v>
      </c>
      <c r="E436" s="47"/>
      <c r="F436" s="47"/>
      <c r="G436" s="47"/>
      <c r="H436" s="47"/>
      <c r="I436" s="47"/>
      <c r="J436" s="47"/>
      <c r="K436" s="47">
        <v>0</v>
      </c>
      <c r="L436" s="47">
        <v>8.7200000000000006</v>
      </c>
      <c r="M436" s="47">
        <v>0</v>
      </c>
      <c r="N436" s="47">
        <v>3.48</v>
      </c>
      <c r="O436" s="47">
        <v>0</v>
      </c>
      <c r="P436" s="47">
        <v>8.7200000000000006</v>
      </c>
      <c r="Q436" s="314">
        <f>AVERAGE(E436:P436)</f>
        <v>3.4866666666666668</v>
      </c>
      <c r="R436" s="315" t="str">
        <f>IF(Q436&lt;5,"SI","NO")</f>
        <v>SI</v>
      </c>
      <c r="S436" s="316" t="str">
        <f>IF(Q436&lt;5,"Sin Riesgo",IF(Q436 &lt;=14,"Bajo",IF(Q436&lt;=35,"Medio",IF(Q436&lt;=80,"Alto","Inviable Sanitariamente"))))</f>
        <v>Sin Riesgo</v>
      </c>
    </row>
    <row r="437" spans="1:19" ht="32.1" customHeight="1">
      <c r="A437" s="404" t="s">
        <v>80</v>
      </c>
      <c r="B437" s="340" t="s">
        <v>4268</v>
      </c>
      <c r="C437" s="340" t="s">
        <v>4269</v>
      </c>
      <c r="D437" s="346">
        <v>394</v>
      </c>
      <c r="E437" s="47"/>
      <c r="F437" s="47"/>
      <c r="G437" s="47"/>
      <c r="H437" s="47"/>
      <c r="I437" s="47"/>
      <c r="J437" s="47"/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4.3600000000000003</v>
      </c>
      <c r="Q437" s="314">
        <f t="shared" si="26"/>
        <v>0.72666666666666668</v>
      </c>
      <c r="R437" s="315" t="str">
        <f t="shared" si="25"/>
        <v>SI</v>
      </c>
      <c r="S437" s="316" t="str">
        <f t="shared" si="23"/>
        <v>Sin Riesgo</v>
      </c>
    </row>
    <row r="438" spans="1:19" ht="32.1" customHeight="1">
      <c r="A438" s="404" t="s">
        <v>80</v>
      </c>
      <c r="B438" s="340" t="s">
        <v>4270</v>
      </c>
      <c r="C438" s="340" t="s">
        <v>4271</v>
      </c>
      <c r="D438" s="346">
        <v>833</v>
      </c>
      <c r="E438" s="47"/>
      <c r="F438" s="47"/>
      <c r="G438" s="47"/>
      <c r="H438" s="47"/>
      <c r="I438" s="47"/>
      <c r="J438" s="47"/>
      <c r="K438" s="47">
        <v>0</v>
      </c>
      <c r="L438" s="47">
        <v>0</v>
      </c>
      <c r="M438" s="47">
        <v>0</v>
      </c>
      <c r="N438" s="47">
        <v>3.48</v>
      </c>
      <c r="O438" s="47">
        <v>12.2</v>
      </c>
      <c r="P438" s="47">
        <v>3.48</v>
      </c>
      <c r="Q438" s="314">
        <f t="shared" si="26"/>
        <v>3.1933333333333334</v>
      </c>
      <c r="R438" s="315" t="str">
        <f t="shared" si="25"/>
        <v>SI</v>
      </c>
      <c r="S438" s="316" t="str">
        <f t="shared" si="23"/>
        <v>Sin Riesgo</v>
      </c>
    </row>
    <row r="439" spans="1:19" ht="32.1" customHeight="1">
      <c r="A439" s="404" t="s">
        <v>80</v>
      </c>
      <c r="B439" s="340" t="s">
        <v>1245</v>
      </c>
      <c r="C439" s="340" t="s">
        <v>4272</v>
      </c>
      <c r="D439" s="346">
        <v>708</v>
      </c>
      <c r="E439" s="47"/>
      <c r="F439" s="47"/>
      <c r="G439" s="47"/>
      <c r="H439" s="47"/>
      <c r="I439" s="47"/>
      <c r="J439" s="47"/>
      <c r="K439" s="47">
        <v>0</v>
      </c>
      <c r="L439" s="47">
        <v>0</v>
      </c>
      <c r="M439" s="47">
        <v>0</v>
      </c>
      <c r="N439" s="47">
        <v>18.309999999999999</v>
      </c>
      <c r="O439" s="47">
        <v>6.54</v>
      </c>
      <c r="P439" s="47">
        <v>0</v>
      </c>
      <c r="Q439" s="314">
        <f t="shared" si="26"/>
        <v>4.1416666666666666</v>
      </c>
      <c r="R439" s="315" t="str">
        <f t="shared" si="25"/>
        <v>SI</v>
      </c>
      <c r="S439" s="316" t="str">
        <f t="shared" si="23"/>
        <v>Sin Riesgo</v>
      </c>
    </row>
    <row r="440" spans="1:19" ht="32.1" customHeight="1">
      <c r="A440" s="404" t="s">
        <v>80</v>
      </c>
      <c r="B440" s="340" t="s">
        <v>4273</v>
      </c>
      <c r="C440" s="340" t="s">
        <v>4274</v>
      </c>
      <c r="D440" s="346">
        <v>1.5860000000000001</v>
      </c>
      <c r="E440" s="47"/>
      <c r="F440" s="47"/>
      <c r="G440" s="47"/>
      <c r="H440" s="47"/>
      <c r="I440" s="47"/>
      <c r="J440" s="47"/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314">
        <f t="shared" si="26"/>
        <v>0</v>
      </c>
      <c r="R440" s="315" t="str">
        <f t="shared" si="25"/>
        <v>SI</v>
      </c>
      <c r="S440" s="316" t="str">
        <f t="shared" si="23"/>
        <v>Sin Riesgo</v>
      </c>
    </row>
    <row r="441" spans="1:19" ht="32.1" customHeight="1">
      <c r="A441" s="404" t="s">
        <v>80</v>
      </c>
      <c r="B441" s="340" t="s">
        <v>4275</v>
      </c>
      <c r="C441" s="340" t="s">
        <v>4276</v>
      </c>
      <c r="D441" s="399">
        <v>414</v>
      </c>
      <c r="E441" s="47"/>
      <c r="F441" s="47"/>
      <c r="G441" s="47"/>
      <c r="H441" s="47"/>
      <c r="I441" s="47"/>
      <c r="J441" s="47"/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314">
        <f t="shared" si="26"/>
        <v>0</v>
      </c>
      <c r="R441" s="315" t="str">
        <f t="shared" si="25"/>
        <v>SI</v>
      </c>
      <c r="S441" s="316" t="str">
        <f t="shared" si="23"/>
        <v>Sin Riesgo</v>
      </c>
    </row>
    <row r="442" spans="1:19" ht="32.1" customHeight="1">
      <c r="A442" s="564" t="s">
        <v>52</v>
      </c>
      <c r="B442" s="665" t="s">
        <v>1018</v>
      </c>
      <c r="C442" s="674" t="s">
        <v>1249</v>
      </c>
      <c r="D442" s="341">
        <v>92</v>
      </c>
      <c r="E442" s="46"/>
      <c r="F442" s="46"/>
      <c r="G442" s="46">
        <v>36.1</v>
      </c>
      <c r="H442" s="46"/>
      <c r="I442" s="46"/>
      <c r="J442" s="46"/>
      <c r="K442" s="46"/>
      <c r="L442" s="46"/>
      <c r="M442" s="46"/>
      <c r="N442" s="46"/>
      <c r="O442" s="46"/>
      <c r="P442" s="46"/>
      <c r="Q442" s="314">
        <f t="shared" si="26"/>
        <v>36.1</v>
      </c>
      <c r="R442" s="315" t="str">
        <f t="shared" si="25"/>
        <v>NO</v>
      </c>
      <c r="S442" s="316" t="str">
        <f t="shared" si="23"/>
        <v>Alto</v>
      </c>
    </row>
    <row r="443" spans="1:19" ht="32.1" customHeight="1">
      <c r="A443" s="564" t="s">
        <v>52</v>
      </c>
      <c r="B443" s="665" t="s">
        <v>1250</v>
      </c>
      <c r="C443" s="674" t="s">
        <v>1251</v>
      </c>
      <c r="D443" s="341">
        <v>80</v>
      </c>
      <c r="E443" s="46"/>
      <c r="F443" s="46"/>
      <c r="G443" s="46"/>
      <c r="H443" s="46"/>
      <c r="I443" s="46"/>
      <c r="J443" s="46"/>
      <c r="K443" s="46"/>
      <c r="L443" s="46">
        <v>97.35</v>
      </c>
      <c r="M443" s="46"/>
      <c r="N443" s="46"/>
      <c r="O443" s="46"/>
      <c r="P443" s="46"/>
      <c r="Q443" s="314">
        <f t="shared" si="26"/>
        <v>97.35</v>
      </c>
      <c r="R443" s="315" t="str">
        <f t="shared" si="25"/>
        <v>NO</v>
      </c>
      <c r="S443" s="316" t="str">
        <f t="shared" si="23"/>
        <v>Inviable Sanitariamente</v>
      </c>
    </row>
    <row r="444" spans="1:19" ht="32.1" customHeight="1">
      <c r="A444" s="564" t="s">
        <v>52</v>
      </c>
      <c r="B444" s="665" t="s">
        <v>1252</v>
      </c>
      <c r="C444" s="674" t="s">
        <v>1253</v>
      </c>
      <c r="D444" s="341">
        <v>90</v>
      </c>
      <c r="E444" s="46"/>
      <c r="F444" s="46"/>
      <c r="G444" s="46"/>
      <c r="H444" s="46"/>
      <c r="I444" s="46"/>
      <c r="J444" s="46"/>
      <c r="K444" s="46"/>
      <c r="L444" s="46">
        <v>97.35</v>
      </c>
      <c r="M444" s="46"/>
      <c r="N444" s="46"/>
      <c r="O444" s="46"/>
      <c r="P444" s="46"/>
      <c r="Q444" s="314">
        <f t="shared" si="26"/>
        <v>97.35</v>
      </c>
      <c r="R444" s="315" t="str">
        <f t="shared" si="25"/>
        <v>NO</v>
      </c>
      <c r="S444" s="316" t="str">
        <f t="shared" si="23"/>
        <v>Inviable Sanitariamente</v>
      </c>
    </row>
    <row r="445" spans="1:19" ht="32.1" customHeight="1">
      <c r="A445" s="564" t="s">
        <v>52</v>
      </c>
      <c r="B445" s="665" t="s">
        <v>1254</v>
      </c>
      <c r="C445" s="674" t="s">
        <v>1255</v>
      </c>
      <c r="D445" s="341">
        <v>600</v>
      </c>
      <c r="E445" s="46"/>
      <c r="F445" s="46"/>
      <c r="G445" s="46"/>
      <c r="H445" s="46"/>
      <c r="I445" s="46"/>
      <c r="J445" s="46"/>
      <c r="K445" s="46"/>
      <c r="L445" s="46"/>
      <c r="M445" s="46"/>
      <c r="N445" s="46">
        <v>0</v>
      </c>
      <c r="O445" s="46"/>
      <c r="P445" s="46"/>
      <c r="Q445" s="314">
        <f t="shared" si="26"/>
        <v>0</v>
      </c>
      <c r="R445" s="315" t="str">
        <f t="shared" si="25"/>
        <v>SI</v>
      </c>
      <c r="S445" s="316" t="str">
        <f t="shared" si="23"/>
        <v>Sin Riesgo</v>
      </c>
    </row>
    <row r="446" spans="1:19" ht="32.1" customHeight="1">
      <c r="A446" s="564" t="s">
        <v>52</v>
      </c>
      <c r="B446" s="665" t="s">
        <v>1256</v>
      </c>
      <c r="C446" s="674" t="s">
        <v>1257</v>
      </c>
      <c r="D446" s="341">
        <v>70</v>
      </c>
      <c r="E446" s="46"/>
      <c r="F446" s="46"/>
      <c r="G446" s="46"/>
      <c r="H446" s="46"/>
      <c r="I446" s="46"/>
      <c r="J446" s="46"/>
      <c r="K446" s="46">
        <v>97.91</v>
      </c>
      <c r="L446" s="46"/>
      <c r="M446" s="46"/>
      <c r="N446" s="46">
        <v>100</v>
      </c>
      <c r="O446" s="46"/>
      <c r="P446" s="46"/>
      <c r="Q446" s="314">
        <f t="shared" si="26"/>
        <v>98.954999999999998</v>
      </c>
      <c r="R446" s="315" t="str">
        <f t="shared" si="25"/>
        <v>NO</v>
      </c>
      <c r="S446" s="316" t="str">
        <f t="shared" ref="S446:S510" si="27">IF(Q446&lt;5,"Sin Riesgo",IF(Q446 &lt;=14,"Bajo",IF(Q446&lt;=35,"Medio",IF(Q446&lt;=80,"Alto","Inviable Sanitariamente"))))</f>
        <v>Inviable Sanitariamente</v>
      </c>
    </row>
    <row r="447" spans="1:19" ht="32.1" customHeight="1">
      <c r="A447" s="564" t="s">
        <v>52</v>
      </c>
      <c r="B447" s="665" t="s">
        <v>1258</v>
      </c>
      <c r="C447" s="674" t="s">
        <v>1259</v>
      </c>
      <c r="D447" s="341">
        <v>75</v>
      </c>
      <c r="E447" s="46"/>
      <c r="F447" s="46">
        <v>96.39</v>
      </c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314">
        <f t="shared" si="26"/>
        <v>96.39</v>
      </c>
      <c r="R447" s="315" t="str">
        <f t="shared" si="25"/>
        <v>NO</v>
      </c>
      <c r="S447" s="316" t="str">
        <f t="shared" si="27"/>
        <v>Inviable Sanitariamente</v>
      </c>
    </row>
    <row r="448" spans="1:19" ht="32.1" customHeight="1">
      <c r="A448" s="564" t="s">
        <v>52</v>
      </c>
      <c r="B448" s="665" t="s">
        <v>1260</v>
      </c>
      <c r="C448" s="675" t="s">
        <v>1261</v>
      </c>
      <c r="D448" s="418">
        <v>80</v>
      </c>
      <c r="E448" s="407"/>
      <c r="F448" s="407">
        <v>96.4</v>
      </c>
      <c r="G448" s="407"/>
      <c r="H448" s="407"/>
      <c r="I448" s="407"/>
      <c r="J448" s="407"/>
      <c r="K448" s="407"/>
      <c r="L448" s="407"/>
      <c r="M448" s="407"/>
      <c r="N448" s="407"/>
      <c r="O448" s="407"/>
      <c r="P448" s="407"/>
      <c r="Q448" s="314">
        <f t="shared" si="26"/>
        <v>96.4</v>
      </c>
      <c r="R448" s="315" t="str">
        <f t="shared" si="25"/>
        <v>NO</v>
      </c>
      <c r="S448" s="316" t="str">
        <f t="shared" si="27"/>
        <v>Inviable Sanitariamente</v>
      </c>
    </row>
    <row r="449" spans="1:19" ht="32.1" customHeight="1">
      <c r="A449" s="564" t="s">
        <v>52</v>
      </c>
      <c r="B449" s="665" t="s">
        <v>1262</v>
      </c>
      <c r="C449" s="674" t="s">
        <v>1263</v>
      </c>
      <c r="D449" s="304">
        <v>192</v>
      </c>
      <c r="E449" s="46"/>
      <c r="F449" s="46">
        <v>0</v>
      </c>
      <c r="G449" s="46"/>
      <c r="H449" s="46"/>
      <c r="I449" s="46"/>
      <c r="J449" s="46"/>
      <c r="K449" s="46"/>
      <c r="L449" s="46"/>
      <c r="M449" s="46">
        <v>0</v>
      </c>
      <c r="N449" s="46"/>
      <c r="O449" s="46"/>
      <c r="P449" s="46"/>
      <c r="Q449" s="314">
        <f t="shared" si="26"/>
        <v>0</v>
      </c>
      <c r="R449" s="315" t="str">
        <f t="shared" si="25"/>
        <v>SI</v>
      </c>
      <c r="S449" s="316" t="str">
        <f t="shared" si="27"/>
        <v>Sin Riesgo</v>
      </c>
    </row>
    <row r="450" spans="1:19" ht="32.1" customHeight="1">
      <c r="A450" s="564" t="s">
        <v>52</v>
      </c>
      <c r="B450" s="665" t="s">
        <v>1264</v>
      </c>
      <c r="C450" s="674" t="s">
        <v>1265</v>
      </c>
      <c r="D450" s="341">
        <v>26</v>
      </c>
      <c r="E450" s="46"/>
      <c r="F450" s="46"/>
      <c r="G450" s="46">
        <v>0</v>
      </c>
      <c r="H450" s="46"/>
      <c r="I450" s="46"/>
      <c r="J450" s="46"/>
      <c r="K450" s="46"/>
      <c r="L450" s="46"/>
      <c r="M450" s="46"/>
      <c r="N450" s="46"/>
      <c r="O450" s="46"/>
      <c r="P450" s="46"/>
      <c r="Q450" s="314">
        <f t="shared" si="26"/>
        <v>0</v>
      </c>
      <c r="R450" s="315" t="str">
        <f t="shared" si="25"/>
        <v>SI</v>
      </c>
      <c r="S450" s="316" t="str">
        <f t="shared" si="27"/>
        <v>Sin Riesgo</v>
      </c>
    </row>
    <row r="451" spans="1:19" ht="32.1" customHeight="1">
      <c r="A451" s="564" t="s">
        <v>52</v>
      </c>
      <c r="B451" s="665" t="s">
        <v>1266</v>
      </c>
      <c r="C451" s="675" t="s">
        <v>1267</v>
      </c>
      <c r="D451" s="418">
        <v>40</v>
      </c>
      <c r="E451" s="407"/>
      <c r="F451" s="407"/>
      <c r="G451" s="407"/>
      <c r="H451" s="407"/>
      <c r="I451" s="407"/>
      <c r="J451" s="407">
        <v>96.4</v>
      </c>
      <c r="K451" s="407"/>
      <c r="L451" s="407"/>
      <c r="M451" s="407"/>
      <c r="N451" s="407"/>
      <c r="O451" s="407"/>
      <c r="P451" s="407"/>
      <c r="Q451" s="314">
        <f t="shared" si="26"/>
        <v>96.4</v>
      </c>
      <c r="R451" s="315" t="str">
        <f t="shared" si="25"/>
        <v>NO</v>
      </c>
      <c r="S451" s="316" t="str">
        <f t="shared" si="27"/>
        <v>Inviable Sanitariamente</v>
      </c>
    </row>
    <row r="452" spans="1:19" ht="32.1" customHeight="1">
      <c r="A452" s="564" t="s">
        <v>52</v>
      </c>
      <c r="B452" s="665" t="s">
        <v>643</v>
      </c>
      <c r="C452" s="675" t="s">
        <v>1268</v>
      </c>
      <c r="D452" s="418">
        <v>38</v>
      </c>
      <c r="E452" s="407"/>
      <c r="F452" s="407">
        <v>96.39</v>
      </c>
      <c r="G452" s="407"/>
      <c r="H452" s="407"/>
      <c r="I452" s="407"/>
      <c r="J452" s="407"/>
      <c r="K452" s="407"/>
      <c r="L452" s="407"/>
      <c r="M452" s="407"/>
      <c r="N452" s="407"/>
      <c r="O452" s="407"/>
      <c r="P452" s="407"/>
      <c r="Q452" s="314">
        <f t="shared" si="26"/>
        <v>96.39</v>
      </c>
      <c r="R452" s="315" t="str">
        <f t="shared" si="25"/>
        <v>NO</v>
      </c>
      <c r="S452" s="316" t="str">
        <f t="shared" si="27"/>
        <v>Inviable Sanitariamente</v>
      </c>
    </row>
    <row r="453" spans="1:19" ht="32.1" customHeight="1">
      <c r="A453" s="564" t="s">
        <v>52</v>
      </c>
      <c r="B453" s="665" t="s">
        <v>1269</v>
      </c>
      <c r="C453" s="674" t="s">
        <v>1270</v>
      </c>
      <c r="D453" s="341">
        <v>30</v>
      </c>
      <c r="E453" s="46"/>
      <c r="F453" s="46"/>
      <c r="G453" s="46"/>
      <c r="H453" s="46"/>
      <c r="I453" s="46"/>
      <c r="J453" s="46"/>
      <c r="K453" s="46"/>
      <c r="L453" s="46"/>
      <c r="M453" s="46">
        <v>53.1</v>
      </c>
      <c r="N453" s="46"/>
      <c r="O453" s="46"/>
      <c r="P453" s="46"/>
      <c r="Q453" s="314">
        <f t="shared" si="26"/>
        <v>53.1</v>
      </c>
      <c r="R453" s="315" t="str">
        <f t="shared" si="25"/>
        <v>NO</v>
      </c>
      <c r="S453" s="316" t="str">
        <f t="shared" si="27"/>
        <v>Alto</v>
      </c>
    </row>
    <row r="454" spans="1:19" ht="32.1" customHeight="1">
      <c r="A454" s="564" t="s">
        <v>52</v>
      </c>
      <c r="B454" s="665" t="s">
        <v>1271</v>
      </c>
      <c r="C454" s="675" t="s">
        <v>1272</v>
      </c>
      <c r="D454" s="418">
        <v>88</v>
      </c>
      <c r="E454" s="407"/>
      <c r="F454" s="407"/>
      <c r="G454" s="407"/>
      <c r="H454" s="407">
        <v>96.86</v>
      </c>
      <c r="I454" s="407"/>
      <c r="J454" s="407"/>
      <c r="K454" s="407"/>
      <c r="L454" s="407"/>
      <c r="M454" s="407"/>
      <c r="N454" s="407"/>
      <c r="O454" s="407"/>
      <c r="P454" s="407"/>
      <c r="Q454" s="314">
        <f t="shared" si="26"/>
        <v>96.86</v>
      </c>
      <c r="R454" s="315" t="str">
        <f t="shared" si="25"/>
        <v>NO</v>
      </c>
      <c r="S454" s="316" t="str">
        <f t="shared" si="27"/>
        <v>Inviable Sanitariamente</v>
      </c>
    </row>
    <row r="455" spans="1:19" ht="32.1" customHeight="1">
      <c r="A455" s="564" t="s">
        <v>52</v>
      </c>
      <c r="B455" s="662" t="s">
        <v>1273</v>
      </c>
      <c r="C455" s="674" t="s">
        <v>1274</v>
      </c>
      <c r="D455" s="341">
        <v>100</v>
      </c>
      <c r="E455" s="46"/>
      <c r="F455" s="46"/>
      <c r="G455" s="46"/>
      <c r="H455" s="46"/>
      <c r="I455" s="46"/>
      <c r="J455" s="46"/>
      <c r="K455" s="46"/>
      <c r="L455" s="46">
        <v>96.39</v>
      </c>
      <c r="M455" s="46"/>
      <c r="N455" s="46"/>
      <c r="O455" s="46"/>
      <c r="P455" s="46"/>
      <c r="Q455" s="314">
        <f t="shared" si="26"/>
        <v>96.39</v>
      </c>
      <c r="R455" s="315" t="str">
        <f t="shared" si="25"/>
        <v>NO</v>
      </c>
      <c r="S455" s="316" t="str">
        <f t="shared" si="27"/>
        <v>Inviable Sanitariamente</v>
      </c>
    </row>
    <row r="456" spans="1:19" ht="32.1" customHeight="1">
      <c r="A456" s="564" t="s">
        <v>52</v>
      </c>
      <c r="B456" s="662" t="s">
        <v>1275</v>
      </c>
      <c r="C456" s="674" t="s">
        <v>1276</v>
      </c>
      <c r="D456" s="304">
        <v>42</v>
      </c>
      <c r="E456" s="46"/>
      <c r="F456" s="46"/>
      <c r="G456" s="46"/>
      <c r="H456" s="46"/>
      <c r="I456" s="46">
        <v>56.5</v>
      </c>
      <c r="J456" s="46"/>
      <c r="K456" s="46"/>
      <c r="L456" s="46"/>
      <c r="M456" s="46"/>
      <c r="N456" s="46"/>
      <c r="O456" s="46"/>
      <c r="P456" s="46"/>
      <c r="Q456" s="314">
        <f t="shared" si="26"/>
        <v>56.5</v>
      </c>
      <c r="R456" s="315" t="str">
        <f t="shared" si="25"/>
        <v>NO</v>
      </c>
      <c r="S456" s="316" t="str">
        <f t="shared" si="27"/>
        <v>Alto</v>
      </c>
    </row>
    <row r="457" spans="1:19" ht="32.1" customHeight="1">
      <c r="A457" s="564" t="s">
        <v>217</v>
      </c>
      <c r="B457" s="680" t="s">
        <v>1277</v>
      </c>
      <c r="C457" s="674" t="s">
        <v>1278</v>
      </c>
      <c r="D457" s="304">
        <v>170</v>
      </c>
      <c r="E457" s="46"/>
      <c r="F457" s="46"/>
      <c r="G457" s="46"/>
      <c r="H457" s="46"/>
      <c r="I457" s="46"/>
      <c r="J457" s="46"/>
      <c r="K457" s="46"/>
      <c r="L457" s="46"/>
      <c r="M457" s="46"/>
      <c r="N457" s="46">
        <v>97.3</v>
      </c>
      <c r="O457" s="46"/>
      <c r="P457" s="46"/>
      <c r="Q457" s="314">
        <f t="shared" si="26"/>
        <v>97.3</v>
      </c>
      <c r="R457" s="315" t="str">
        <f t="shared" si="25"/>
        <v>NO</v>
      </c>
      <c r="S457" s="316" t="str">
        <f t="shared" si="27"/>
        <v>Inviable Sanitariamente</v>
      </c>
    </row>
    <row r="458" spans="1:19" ht="32.1" customHeight="1">
      <c r="A458" s="564" t="s">
        <v>217</v>
      </c>
      <c r="B458" s="680" t="s">
        <v>1279</v>
      </c>
      <c r="C458" s="674" t="s">
        <v>1280</v>
      </c>
      <c r="D458" s="304">
        <v>65</v>
      </c>
      <c r="E458" s="46"/>
      <c r="F458" s="46"/>
      <c r="G458" s="46"/>
      <c r="H458" s="46"/>
      <c r="I458" s="46"/>
      <c r="J458" s="46"/>
      <c r="K458" s="46"/>
      <c r="L458" s="46"/>
      <c r="M458" s="46"/>
      <c r="N458" s="46">
        <v>97.3</v>
      </c>
      <c r="O458" s="46"/>
      <c r="P458" s="46"/>
      <c r="Q458" s="314">
        <f t="shared" si="26"/>
        <v>97.3</v>
      </c>
      <c r="R458" s="315" t="str">
        <f t="shared" si="25"/>
        <v>NO</v>
      </c>
      <c r="S458" s="316" t="str">
        <f t="shared" si="27"/>
        <v>Inviable Sanitariamente</v>
      </c>
    </row>
    <row r="459" spans="1:19" ht="32.1" customHeight="1">
      <c r="A459" s="564" t="s">
        <v>217</v>
      </c>
      <c r="B459" s="680" t="s">
        <v>1281</v>
      </c>
      <c r="C459" s="674" t="s">
        <v>1282</v>
      </c>
      <c r="D459" s="341">
        <v>28</v>
      </c>
      <c r="E459" s="46"/>
      <c r="F459" s="46"/>
      <c r="G459" s="46">
        <v>97.4</v>
      </c>
      <c r="H459" s="46"/>
      <c r="I459" s="46"/>
      <c r="J459" s="46"/>
      <c r="K459" s="46"/>
      <c r="L459" s="46">
        <v>97.3</v>
      </c>
      <c r="M459" s="46"/>
      <c r="N459" s="46"/>
      <c r="O459" s="46"/>
      <c r="P459" s="46"/>
      <c r="Q459" s="314">
        <f t="shared" si="26"/>
        <v>97.35</v>
      </c>
      <c r="R459" s="315" t="str">
        <f t="shared" si="25"/>
        <v>NO</v>
      </c>
      <c r="S459" s="316" t="str">
        <f t="shared" si="27"/>
        <v>Inviable Sanitariamente</v>
      </c>
    </row>
    <row r="460" spans="1:19" ht="32.1" customHeight="1">
      <c r="A460" s="564" t="s">
        <v>217</v>
      </c>
      <c r="B460" s="680" t="s">
        <v>95</v>
      </c>
      <c r="C460" s="674" t="s">
        <v>1283</v>
      </c>
      <c r="D460" s="341">
        <v>40</v>
      </c>
      <c r="E460" s="46"/>
      <c r="F460" s="46">
        <v>97.4</v>
      </c>
      <c r="G460" s="46"/>
      <c r="H460" s="46"/>
      <c r="I460" s="46"/>
      <c r="J460" s="46"/>
      <c r="K460" s="46"/>
      <c r="L460" s="46">
        <v>97.3</v>
      </c>
      <c r="M460" s="46"/>
      <c r="N460" s="46"/>
      <c r="O460" s="46"/>
      <c r="P460" s="46"/>
      <c r="Q460" s="314">
        <f t="shared" si="26"/>
        <v>97.35</v>
      </c>
      <c r="R460" s="315" t="str">
        <f t="shared" si="25"/>
        <v>NO</v>
      </c>
      <c r="S460" s="316" t="str">
        <f t="shared" si="27"/>
        <v>Inviable Sanitariamente</v>
      </c>
    </row>
    <row r="461" spans="1:19" ht="32.1" customHeight="1">
      <c r="A461" s="564" t="s">
        <v>217</v>
      </c>
      <c r="B461" s="680" t="s">
        <v>237</v>
      </c>
      <c r="C461" s="674" t="s">
        <v>1284</v>
      </c>
      <c r="D461" s="341">
        <v>32</v>
      </c>
      <c r="E461" s="46"/>
      <c r="F461" s="46"/>
      <c r="G461" s="46">
        <v>97.4</v>
      </c>
      <c r="H461" s="46"/>
      <c r="I461" s="46"/>
      <c r="J461" s="46"/>
      <c r="K461" s="46"/>
      <c r="L461" s="46"/>
      <c r="M461" s="46">
        <v>97.3</v>
      </c>
      <c r="N461" s="46"/>
      <c r="O461" s="46"/>
      <c r="P461" s="46"/>
      <c r="Q461" s="314">
        <f t="shared" si="26"/>
        <v>97.35</v>
      </c>
      <c r="R461" s="315" t="str">
        <f t="shared" si="25"/>
        <v>NO</v>
      </c>
      <c r="S461" s="316" t="str">
        <f t="shared" si="27"/>
        <v>Inviable Sanitariamente</v>
      </c>
    </row>
    <row r="462" spans="1:19" ht="32.1" customHeight="1">
      <c r="A462" s="564" t="s">
        <v>217</v>
      </c>
      <c r="B462" s="680" t="s">
        <v>1285</v>
      </c>
      <c r="C462" s="674" t="s">
        <v>1286</v>
      </c>
      <c r="D462" s="304">
        <v>42</v>
      </c>
      <c r="E462" s="46"/>
      <c r="F462" s="46"/>
      <c r="G462" s="46"/>
      <c r="H462" s="46"/>
      <c r="I462" s="46"/>
      <c r="J462" s="46"/>
      <c r="K462" s="46"/>
      <c r="L462" s="46"/>
      <c r="M462" s="46"/>
      <c r="N462" s="46">
        <v>97.3</v>
      </c>
      <c r="O462" s="46"/>
      <c r="P462" s="46"/>
      <c r="Q462" s="314">
        <f t="shared" si="26"/>
        <v>97.3</v>
      </c>
      <c r="R462" s="315" t="str">
        <f t="shared" si="25"/>
        <v>NO</v>
      </c>
      <c r="S462" s="316" t="str">
        <f t="shared" si="27"/>
        <v>Inviable Sanitariamente</v>
      </c>
    </row>
    <row r="463" spans="1:19" ht="32.1" customHeight="1">
      <c r="A463" s="564" t="s">
        <v>217</v>
      </c>
      <c r="B463" s="680" t="s">
        <v>1287</v>
      </c>
      <c r="C463" s="674" t="s">
        <v>1288</v>
      </c>
      <c r="D463" s="304">
        <v>22</v>
      </c>
      <c r="E463" s="46"/>
      <c r="F463" s="46"/>
      <c r="G463" s="46"/>
      <c r="H463" s="46"/>
      <c r="I463" s="46"/>
      <c r="J463" s="46"/>
      <c r="K463" s="46"/>
      <c r="L463" s="46"/>
      <c r="M463" s="46">
        <v>97.3</v>
      </c>
      <c r="N463" s="46"/>
      <c r="O463" s="46"/>
      <c r="P463" s="46"/>
      <c r="Q463" s="314">
        <f t="shared" si="26"/>
        <v>97.3</v>
      </c>
      <c r="R463" s="315" t="str">
        <f t="shared" si="25"/>
        <v>NO</v>
      </c>
      <c r="S463" s="316" t="str">
        <f t="shared" si="27"/>
        <v>Inviable Sanitariamente</v>
      </c>
    </row>
    <row r="464" spans="1:19" ht="32.1" customHeight="1">
      <c r="A464" s="404" t="s">
        <v>73</v>
      </c>
      <c r="B464" s="382" t="s">
        <v>1289</v>
      </c>
      <c r="C464" s="379" t="s">
        <v>1290</v>
      </c>
      <c r="D464" s="346">
        <v>350</v>
      </c>
      <c r="E464" s="47"/>
      <c r="F464" s="47">
        <v>97.3</v>
      </c>
      <c r="G464" s="47"/>
      <c r="H464" s="432"/>
      <c r="I464" s="47"/>
      <c r="J464" s="47"/>
      <c r="K464" s="47"/>
      <c r="L464" s="47"/>
      <c r="M464" s="47"/>
      <c r="N464" s="47"/>
      <c r="O464" s="47"/>
      <c r="P464" s="47">
        <v>53.1</v>
      </c>
      <c r="Q464" s="314">
        <f t="shared" si="26"/>
        <v>75.2</v>
      </c>
      <c r="R464" s="315" t="str">
        <f t="shared" si="25"/>
        <v>NO</v>
      </c>
      <c r="S464" s="316" t="str">
        <f t="shared" si="27"/>
        <v>Alto</v>
      </c>
    </row>
    <row r="465" spans="1:19" ht="32.1" customHeight="1">
      <c r="A465" s="404" t="s">
        <v>73</v>
      </c>
      <c r="B465" s="382" t="s">
        <v>1291</v>
      </c>
      <c r="C465" s="379" t="s">
        <v>1292</v>
      </c>
      <c r="D465" s="346">
        <v>66</v>
      </c>
      <c r="E465" s="47"/>
      <c r="F465" s="47">
        <v>97.3</v>
      </c>
      <c r="G465" s="47"/>
      <c r="H465" s="432"/>
      <c r="I465" s="47"/>
      <c r="J465" s="47"/>
      <c r="K465" s="47"/>
      <c r="L465" s="47"/>
      <c r="M465" s="47"/>
      <c r="N465" s="413"/>
      <c r="O465" s="47"/>
      <c r="P465" s="47"/>
      <c r="Q465" s="314">
        <f t="shared" si="26"/>
        <v>97.3</v>
      </c>
      <c r="R465" s="315" t="str">
        <f t="shared" si="25"/>
        <v>NO</v>
      </c>
      <c r="S465" s="316" t="str">
        <f t="shared" si="27"/>
        <v>Inviable Sanitariamente</v>
      </c>
    </row>
    <row r="466" spans="1:19" ht="32.1" customHeight="1">
      <c r="A466" s="404" t="s">
        <v>73</v>
      </c>
      <c r="B466" s="382" t="s">
        <v>56</v>
      </c>
      <c r="C466" s="379" t="s">
        <v>1293</v>
      </c>
      <c r="D466" s="346">
        <v>20</v>
      </c>
      <c r="E466" s="47"/>
      <c r="F466" s="47"/>
      <c r="G466" s="47"/>
      <c r="H466" s="47"/>
      <c r="I466" s="432"/>
      <c r="J466" s="47"/>
      <c r="K466" s="47"/>
      <c r="L466" s="47"/>
      <c r="M466" s="47"/>
      <c r="N466" s="47"/>
      <c r="O466" s="47">
        <v>53.1</v>
      </c>
      <c r="P466" s="47">
        <v>53.1</v>
      </c>
      <c r="Q466" s="314">
        <f t="shared" si="26"/>
        <v>53.1</v>
      </c>
      <c r="R466" s="315" t="str">
        <f t="shared" si="25"/>
        <v>NO</v>
      </c>
      <c r="S466" s="316" t="str">
        <f t="shared" si="27"/>
        <v>Alto</v>
      </c>
    </row>
    <row r="467" spans="1:19" ht="32.1" customHeight="1">
      <c r="A467" s="404" t="s">
        <v>73</v>
      </c>
      <c r="B467" s="382" t="s">
        <v>1294</v>
      </c>
      <c r="C467" s="379" t="s">
        <v>1295</v>
      </c>
      <c r="D467" s="346">
        <v>200</v>
      </c>
      <c r="E467" s="47"/>
      <c r="F467" s="47"/>
      <c r="G467" s="47">
        <v>97.3</v>
      </c>
      <c r="H467" s="47"/>
      <c r="I467" s="47"/>
      <c r="J467" s="432"/>
      <c r="K467" s="47">
        <v>53.1</v>
      </c>
      <c r="L467" s="47"/>
      <c r="M467" s="47"/>
      <c r="N467" s="47"/>
      <c r="O467" s="47"/>
      <c r="P467" s="47"/>
      <c r="Q467" s="314">
        <f t="shared" si="26"/>
        <v>75.2</v>
      </c>
      <c r="R467" s="315" t="str">
        <f t="shared" si="25"/>
        <v>NO</v>
      </c>
      <c r="S467" s="316" t="str">
        <f t="shared" si="27"/>
        <v>Alto</v>
      </c>
    </row>
    <row r="468" spans="1:19" ht="32.1" customHeight="1">
      <c r="A468" s="404" t="s">
        <v>73</v>
      </c>
      <c r="B468" s="382" t="s">
        <v>53</v>
      </c>
      <c r="C468" s="379" t="s">
        <v>1296</v>
      </c>
      <c r="D468" s="346">
        <v>64</v>
      </c>
      <c r="E468" s="47"/>
      <c r="F468" s="47">
        <v>97.3</v>
      </c>
      <c r="G468" s="47"/>
      <c r="H468" s="47"/>
      <c r="I468" s="47"/>
      <c r="J468" s="432"/>
      <c r="K468" s="47"/>
      <c r="L468" s="47"/>
      <c r="M468" s="47"/>
      <c r="N468" s="47"/>
      <c r="O468" s="47"/>
      <c r="P468" s="47">
        <v>53.1</v>
      </c>
      <c r="Q468" s="314">
        <f t="shared" si="26"/>
        <v>75.2</v>
      </c>
      <c r="R468" s="320" t="str">
        <f t="shared" si="25"/>
        <v>NO</v>
      </c>
      <c r="S468" s="316" t="str">
        <f t="shared" si="27"/>
        <v>Alto</v>
      </c>
    </row>
    <row r="469" spans="1:19" ht="32.1" customHeight="1">
      <c r="A469" s="404" t="s">
        <v>73</v>
      </c>
      <c r="B469" s="382" t="s">
        <v>1297</v>
      </c>
      <c r="C469" s="379" t="s">
        <v>1298</v>
      </c>
      <c r="D469" s="346">
        <v>40</v>
      </c>
      <c r="E469" s="47"/>
      <c r="F469" s="47"/>
      <c r="G469" s="47"/>
      <c r="H469" s="47"/>
      <c r="I469" s="47"/>
      <c r="J469" s="432"/>
      <c r="K469" s="47"/>
      <c r="L469" s="47"/>
      <c r="M469" s="47"/>
      <c r="N469" s="47"/>
      <c r="O469" s="47">
        <v>53.1</v>
      </c>
      <c r="P469" s="47">
        <v>53.1</v>
      </c>
      <c r="Q469" s="314">
        <f t="shared" si="26"/>
        <v>53.1</v>
      </c>
      <c r="R469" s="320" t="str">
        <f t="shared" si="25"/>
        <v>NO</v>
      </c>
      <c r="S469" s="316" t="str">
        <f t="shared" si="27"/>
        <v>Alto</v>
      </c>
    </row>
    <row r="470" spans="1:19" ht="32.1" customHeight="1">
      <c r="A470" s="404" t="s">
        <v>73</v>
      </c>
      <c r="B470" s="382" t="s">
        <v>4277</v>
      </c>
      <c r="C470" s="379" t="s">
        <v>1679</v>
      </c>
      <c r="D470" s="346">
        <v>30</v>
      </c>
      <c r="E470" s="47"/>
      <c r="F470" s="47"/>
      <c r="G470" s="47"/>
      <c r="H470" s="47"/>
      <c r="I470" s="432"/>
      <c r="J470" s="47"/>
      <c r="K470" s="47"/>
      <c r="L470" s="47"/>
      <c r="M470" s="47"/>
      <c r="N470" s="47"/>
      <c r="O470" s="47">
        <v>53.1</v>
      </c>
      <c r="P470" s="47">
        <v>53.1</v>
      </c>
      <c r="Q470" s="314">
        <f t="shared" si="26"/>
        <v>53.1</v>
      </c>
      <c r="R470" s="320" t="str">
        <f t="shared" si="25"/>
        <v>NO</v>
      </c>
      <c r="S470" s="316" t="str">
        <f t="shared" si="27"/>
        <v>Alto</v>
      </c>
    </row>
    <row r="471" spans="1:19" ht="32.1" customHeight="1">
      <c r="A471" s="404" t="s">
        <v>73</v>
      </c>
      <c r="B471" s="382" t="s">
        <v>9</v>
      </c>
      <c r="C471" s="379" t="s">
        <v>1299</v>
      </c>
      <c r="D471" s="399">
        <v>40</v>
      </c>
      <c r="E471" s="47"/>
      <c r="F471" s="47"/>
      <c r="G471" s="47"/>
      <c r="H471" s="47"/>
      <c r="I471" s="479">
        <v>26.55</v>
      </c>
      <c r="J471" s="47"/>
      <c r="K471" s="47"/>
      <c r="L471" s="47"/>
      <c r="M471" s="47"/>
      <c r="N471" s="47"/>
      <c r="O471" s="47">
        <v>53.1</v>
      </c>
      <c r="P471" s="47"/>
      <c r="Q471" s="314">
        <f t="shared" si="26"/>
        <v>39.825000000000003</v>
      </c>
      <c r="R471" s="320" t="str">
        <f t="shared" si="25"/>
        <v>NO</v>
      </c>
      <c r="S471" s="316" t="str">
        <f t="shared" si="27"/>
        <v>Alto</v>
      </c>
    </row>
    <row r="472" spans="1:19" ht="32.1" customHeight="1">
      <c r="A472" s="404" t="s">
        <v>73</v>
      </c>
      <c r="B472" s="382" t="s">
        <v>1300</v>
      </c>
      <c r="C472" s="379" t="s">
        <v>1301</v>
      </c>
      <c r="D472" s="346">
        <v>30</v>
      </c>
      <c r="E472" s="47"/>
      <c r="F472" s="47"/>
      <c r="G472" s="47">
        <v>97.3</v>
      </c>
      <c r="H472" s="47"/>
      <c r="I472" s="432"/>
      <c r="J472" s="47"/>
      <c r="K472" s="47"/>
      <c r="L472" s="47"/>
      <c r="M472" s="47"/>
      <c r="N472" s="47"/>
      <c r="O472" s="47"/>
      <c r="P472" s="47">
        <v>53.1</v>
      </c>
      <c r="Q472" s="314">
        <f t="shared" si="26"/>
        <v>75.2</v>
      </c>
      <c r="R472" s="320" t="str">
        <f t="shared" si="25"/>
        <v>NO</v>
      </c>
      <c r="S472" s="316" t="str">
        <f t="shared" si="27"/>
        <v>Alto</v>
      </c>
    </row>
    <row r="473" spans="1:19" ht="32.1" customHeight="1">
      <c r="A473" s="444" t="s">
        <v>93</v>
      </c>
      <c r="B473" s="382" t="s">
        <v>1302</v>
      </c>
      <c r="C473" s="379" t="s">
        <v>1303</v>
      </c>
      <c r="D473" s="346">
        <v>62</v>
      </c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>
        <v>64</v>
      </c>
      <c r="Q473" s="314">
        <f t="shared" si="26"/>
        <v>64</v>
      </c>
      <c r="R473" s="320" t="str">
        <f t="shared" si="25"/>
        <v>NO</v>
      </c>
      <c r="S473" s="316" t="str">
        <f t="shared" si="27"/>
        <v>Alto</v>
      </c>
    </row>
    <row r="474" spans="1:19" ht="32.1" customHeight="1">
      <c r="A474" s="444" t="s">
        <v>93</v>
      </c>
      <c r="B474" s="382" t="s">
        <v>1304</v>
      </c>
      <c r="C474" s="379" t="s">
        <v>1305</v>
      </c>
      <c r="D474" s="346">
        <v>22</v>
      </c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>
        <v>88</v>
      </c>
      <c r="Q474" s="314">
        <f t="shared" si="26"/>
        <v>88</v>
      </c>
      <c r="R474" s="320" t="str">
        <f t="shared" si="25"/>
        <v>NO</v>
      </c>
      <c r="S474" s="316" t="str">
        <f t="shared" si="27"/>
        <v>Inviable Sanitariamente</v>
      </c>
    </row>
    <row r="475" spans="1:19" ht="32.1" customHeight="1">
      <c r="A475" s="444" t="s">
        <v>93</v>
      </c>
      <c r="B475" s="382" t="s">
        <v>1306</v>
      </c>
      <c r="C475" s="379" t="s">
        <v>1307</v>
      </c>
      <c r="D475" s="346">
        <v>120</v>
      </c>
      <c r="E475" s="47"/>
      <c r="F475" s="47"/>
      <c r="G475" s="47"/>
      <c r="H475" s="47"/>
      <c r="I475" s="47"/>
      <c r="J475" s="47"/>
      <c r="K475" s="47"/>
      <c r="L475" s="47"/>
      <c r="M475" s="47">
        <v>96.39</v>
      </c>
      <c r="N475" s="47"/>
      <c r="O475" s="47"/>
      <c r="P475" s="47"/>
      <c r="Q475" s="314">
        <f t="shared" si="26"/>
        <v>96.39</v>
      </c>
      <c r="R475" s="320" t="str">
        <f t="shared" si="25"/>
        <v>NO</v>
      </c>
      <c r="S475" s="316" t="str">
        <f t="shared" si="27"/>
        <v>Inviable Sanitariamente</v>
      </c>
    </row>
    <row r="476" spans="1:19" ht="32.1" customHeight="1">
      <c r="A476" s="444" t="s">
        <v>93</v>
      </c>
      <c r="B476" s="382" t="s">
        <v>1308</v>
      </c>
      <c r="C476" s="379" t="s">
        <v>1309</v>
      </c>
      <c r="D476" s="346">
        <v>81</v>
      </c>
      <c r="E476" s="47"/>
      <c r="F476" s="47"/>
      <c r="G476" s="47"/>
      <c r="H476" s="47"/>
      <c r="I476" s="47"/>
      <c r="J476" s="47"/>
      <c r="K476" s="47"/>
      <c r="L476" s="47"/>
      <c r="M476" s="47">
        <v>97.3</v>
      </c>
      <c r="N476" s="47"/>
      <c r="O476" s="47"/>
      <c r="P476" s="47"/>
      <c r="Q476" s="314">
        <f t="shared" si="26"/>
        <v>97.3</v>
      </c>
      <c r="R476" s="320" t="str">
        <f t="shared" si="25"/>
        <v>NO</v>
      </c>
      <c r="S476" s="316" t="str">
        <f t="shared" si="27"/>
        <v>Inviable Sanitariamente</v>
      </c>
    </row>
    <row r="477" spans="1:19" ht="32.1" customHeight="1">
      <c r="A477" s="444" t="s">
        <v>93</v>
      </c>
      <c r="B477" s="382" t="s">
        <v>1310</v>
      </c>
      <c r="C477" s="379" t="s">
        <v>1311</v>
      </c>
      <c r="D477" s="346">
        <v>85</v>
      </c>
      <c r="E477" s="47"/>
      <c r="F477" s="47">
        <v>97.3</v>
      </c>
      <c r="G477" s="47"/>
      <c r="H477" s="47"/>
      <c r="I477" s="47"/>
      <c r="J477" s="47"/>
      <c r="K477" s="47"/>
      <c r="L477" s="47"/>
      <c r="M477" s="47"/>
      <c r="N477" s="47">
        <v>90.4</v>
      </c>
      <c r="O477" s="47"/>
      <c r="P477" s="47"/>
      <c r="Q477" s="314">
        <f t="shared" si="26"/>
        <v>93.85</v>
      </c>
      <c r="R477" s="315" t="str">
        <f t="shared" ref="R477:R544" si="28">IF(Q477&lt;5,"SI","NO")</f>
        <v>NO</v>
      </c>
      <c r="S477" s="316" t="str">
        <f t="shared" si="27"/>
        <v>Inviable Sanitariamente</v>
      </c>
    </row>
    <row r="478" spans="1:19" ht="32.1" customHeight="1">
      <c r="A478" s="444" t="s">
        <v>93</v>
      </c>
      <c r="B478" s="382" t="s">
        <v>761</v>
      </c>
      <c r="C478" s="379" t="s">
        <v>1312</v>
      </c>
      <c r="D478" s="346">
        <v>35</v>
      </c>
      <c r="E478" s="47"/>
      <c r="F478" s="47"/>
      <c r="G478" s="47"/>
      <c r="H478" s="47">
        <v>97.3</v>
      </c>
      <c r="I478" s="47"/>
      <c r="J478" s="47"/>
      <c r="K478" s="47"/>
      <c r="L478" s="47"/>
      <c r="M478" s="47"/>
      <c r="N478" s="47">
        <v>88</v>
      </c>
      <c r="O478" s="47"/>
      <c r="P478" s="47"/>
      <c r="Q478" s="314">
        <f t="shared" si="26"/>
        <v>92.65</v>
      </c>
      <c r="R478" s="320" t="str">
        <f t="shared" si="28"/>
        <v>NO</v>
      </c>
      <c r="S478" s="316" t="str">
        <f t="shared" si="27"/>
        <v>Inviable Sanitariamente</v>
      </c>
    </row>
    <row r="479" spans="1:19" ht="32.1" customHeight="1">
      <c r="A479" s="444" t="s">
        <v>93</v>
      </c>
      <c r="B479" s="382" t="s">
        <v>1313</v>
      </c>
      <c r="C479" s="379" t="s">
        <v>1314</v>
      </c>
      <c r="D479" s="346">
        <v>60</v>
      </c>
      <c r="E479" s="47"/>
      <c r="F479" s="47"/>
      <c r="G479" s="47"/>
      <c r="H479" s="47"/>
      <c r="I479" s="47"/>
      <c r="J479" s="47"/>
      <c r="K479" s="47"/>
      <c r="L479" s="47"/>
      <c r="M479" s="47">
        <v>96.39</v>
      </c>
      <c r="N479" s="47"/>
      <c r="O479" s="47"/>
      <c r="P479" s="47"/>
      <c r="Q479" s="314">
        <f t="shared" si="26"/>
        <v>96.39</v>
      </c>
      <c r="R479" s="320" t="str">
        <f t="shared" si="28"/>
        <v>NO</v>
      </c>
      <c r="S479" s="316" t="str">
        <f t="shared" si="27"/>
        <v>Inviable Sanitariamente</v>
      </c>
    </row>
    <row r="480" spans="1:19" ht="32.1" customHeight="1">
      <c r="A480" s="444" t="s">
        <v>93</v>
      </c>
      <c r="B480" s="382" t="s">
        <v>1315</v>
      </c>
      <c r="C480" s="379" t="s">
        <v>1316</v>
      </c>
      <c r="D480" s="399">
        <v>40</v>
      </c>
      <c r="E480" s="47"/>
      <c r="F480" s="47"/>
      <c r="G480" s="47"/>
      <c r="H480" s="47"/>
      <c r="I480" s="47">
        <v>96.4</v>
      </c>
      <c r="J480" s="47"/>
      <c r="K480" s="47"/>
      <c r="L480" s="47"/>
      <c r="M480" s="47"/>
      <c r="N480" s="47"/>
      <c r="O480" s="47"/>
      <c r="P480" s="47"/>
      <c r="Q480" s="314">
        <f t="shared" si="26"/>
        <v>96.4</v>
      </c>
      <c r="R480" s="320" t="str">
        <f t="shared" si="28"/>
        <v>NO</v>
      </c>
      <c r="S480" s="316" t="str">
        <f t="shared" si="27"/>
        <v>Inviable Sanitariamente</v>
      </c>
    </row>
    <row r="481" spans="1:19" ht="32.1" customHeight="1">
      <c r="A481" s="444" t="s">
        <v>93</v>
      </c>
      <c r="B481" s="382" t="s">
        <v>1317</v>
      </c>
      <c r="C481" s="379" t="s">
        <v>1318</v>
      </c>
      <c r="D481" s="346">
        <v>40</v>
      </c>
      <c r="E481" s="47"/>
      <c r="F481" s="47"/>
      <c r="G481" s="47"/>
      <c r="H481" s="47"/>
      <c r="I481" s="47"/>
      <c r="J481" s="47"/>
      <c r="K481" s="47"/>
      <c r="L481" s="47">
        <v>96.39</v>
      </c>
      <c r="M481" s="47"/>
      <c r="N481" s="47"/>
      <c r="O481" s="47"/>
      <c r="P481" s="47"/>
      <c r="Q481" s="314">
        <f t="shared" si="26"/>
        <v>96.39</v>
      </c>
      <c r="R481" s="320" t="str">
        <f t="shared" si="28"/>
        <v>NO</v>
      </c>
      <c r="S481" s="316" t="str">
        <f t="shared" si="27"/>
        <v>Inviable Sanitariamente</v>
      </c>
    </row>
    <row r="482" spans="1:19" ht="32.1" customHeight="1">
      <c r="A482" s="568" t="s">
        <v>93</v>
      </c>
      <c r="B482" s="680" t="s">
        <v>1319</v>
      </c>
      <c r="C482" s="674" t="s">
        <v>1320</v>
      </c>
      <c r="D482" s="304">
        <v>105</v>
      </c>
      <c r="E482" s="46"/>
      <c r="F482" s="46">
        <v>97.3</v>
      </c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314">
        <f t="shared" si="26"/>
        <v>97.3</v>
      </c>
      <c r="R482" s="320" t="str">
        <f t="shared" si="28"/>
        <v>NO</v>
      </c>
      <c r="S482" s="316" t="str">
        <f t="shared" si="27"/>
        <v>Inviable Sanitariamente</v>
      </c>
    </row>
    <row r="483" spans="1:19" ht="32.1" customHeight="1">
      <c r="A483" s="568" t="s">
        <v>93</v>
      </c>
      <c r="B483" s="680" t="s">
        <v>1321</v>
      </c>
      <c r="C483" s="674" t="s">
        <v>1322</v>
      </c>
      <c r="D483" s="304">
        <v>30</v>
      </c>
      <c r="E483" s="46"/>
      <c r="F483" s="46"/>
      <c r="G483" s="46"/>
      <c r="H483" s="46"/>
      <c r="I483" s="46">
        <v>97.3</v>
      </c>
      <c r="J483" s="46"/>
      <c r="K483" s="46"/>
      <c r="L483" s="46"/>
      <c r="M483" s="46"/>
      <c r="N483" s="46"/>
      <c r="O483" s="46"/>
      <c r="P483" s="46"/>
      <c r="Q483" s="314">
        <f t="shared" si="26"/>
        <v>97.3</v>
      </c>
      <c r="R483" s="320" t="str">
        <f t="shared" si="28"/>
        <v>NO</v>
      </c>
      <c r="S483" s="316" t="str">
        <f t="shared" si="27"/>
        <v>Inviable Sanitariamente</v>
      </c>
    </row>
    <row r="484" spans="1:19" ht="32.1" customHeight="1">
      <c r="A484" s="568" t="s">
        <v>93</v>
      </c>
      <c r="B484" s="680" t="s">
        <v>1323</v>
      </c>
      <c r="C484" s="674" t="s">
        <v>1324</v>
      </c>
      <c r="D484" s="399">
        <v>40</v>
      </c>
      <c r="E484" s="47"/>
      <c r="F484" s="47"/>
      <c r="G484" s="47"/>
      <c r="H484" s="47"/>
      <c r="I484" s="47"/>
      <c r="J484" s="47">
        <v>96.39</v>
      </c>
      <c r="K484" s="47"/>
      <c r="L484" s="47"/>
      <c r="M484" s="47"/>
      <c r="N484" s="47"/>
      <c r="O484" s="47"/>
      <c r="P484" s="47"/>
      <c r="Q484" s="314">
        <f t="shared" si="26"/>
        <v>96.39</v>
      </c>
      <c r="R484" s="320" t="str">
        <f t="shared" si="28"/>
        <v>NO</v>
      </c>
      <c r="S484" s="316" t="str">
        <f t="shared" si="27"/>
        <v>Inviable Sanitariamente</v>
      </c>
    </row>
    <row r="485" spans="1:19" ht="32.1" customHeight="1">
      <c r="A485" s="568" t="s">
        <v>93</v>
      </c>
      <c r="B485" s="680" t="s">
        <v>1325</v>
      </c>
      <c r="C485" s="674" t="s">
        <v>1326</v>
      </c>
      <c r="D485" s="346">
        <v>23</v>
      </c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>
        <v>88</v>
      </c>
      <c r="P485" s="47"/>
      <c r="Q485" s="314">
        <f t="shared" si="26"/>
        <v>88</v>
      </c>
      <c r="R485" s="320" t="str">
        <f t="shared" si="28"/>
        <v>NO</v>
      </c>
      <c r="S485" s="316" t="str">
        <f t="shared" si="27"/>
        <v>Inviable Sanitariamente</v>
      </c>
    </row>
    <row r="486" spans="1:19" ht="32.1" customHeight="1">
      <c r="A486" s="568" t="s">
        <v>93</v>
      </c>
      <c r="B486" s="680" t="s">
        <v>1327</v>
      </c>
      <c r="C486" s="674" t="s">
        <v>1328</v>
      </c>
      <c r="D486" s="346">
        <v>80</v>
      </c>
      <c r="E486" s="47"/>
      <c r="F486" s="47"/>
      <c r="G486" s="47"/>
      <c r="H486" s="47"/>
      <c r="I486" s="47"/>
      <c r="J486" s="47"/>
      <c r="K486" s="47">
        <v>96.39</v>
      </c>
      <c r="L486" s="47"/>
      <c r="M486" s="47"/>
      <c r="N486" s="47"/>
      <c r="O486" s="47"/>
      <c r="P486" s="47"/>
      <c r="Q486" s="314">
        <f t="shared" si="26"/>
        <v>96.39</v>
      </c>
      <c r="R486" s="320" t="str">
        <f t="shared" si="28"/>
        <v>NO</v>
      </c>
      <c r="S486" s="316" t="str">
        <f t="shared" si="27"/>
        <v>Inviable Sanitariamente</v>
      </c>
    </row>
    <row r="487" spans="1:19" ht="32.1" customHeight="1">
      <c r="A487" s="568" t="s">
        <v>93</v>
      </c>
      <c r="B487" s="680" t="s">
        <v>1329</v>
      </c>
      <c r="C487" s="674" t="s">
        <v>1330</v>
      </c>
      <c r="D487" s="304">
        <v>52</v>
      </c>
      <c r="E487" s="46"/>
      <c r="F487" s="46"/>
      <c r="G487" s="46"/>
      <c r="H487" s="46">
        <v>97.3</v>
      </c>
      <c r="I487" s="46"/>
      <c r="J487" s="46"/>
      <c r="K487" s="46">
        <v>97.3</v>
      </c>
      <c r="L487" s="46"/>
      <c r="M487" s="46"/>
      <c r="N487" s="46"/>
      <c r="O487" s="46"/>
      <c r="P487" s="46"/>
      <c r="Q487" s="314">
        <f t="shared" si="26"/>
        <v>97.3</v>
      </c>
      <c r="R487" s="320" t="str">
        <f t="shared" si="28"/>
        <v>NO</v>
      </c>
      <c r="S487" s="316" t="str">
        <f t="shared" si="27"/>
        <v>Inviable Sanitariamente</v>
      </c>
    </row>
    <row r="488" spans="1:19" ht="32.1" customHeight="1">
      <c r="A488" s="568" t="s">
        <v>93</v>
      </c>
      <c r="B488" s="680" t="s">
        <v>1331</v>
      </c>
      <c r="C488" s="674" t="s">
        <v>1332</v>
      </c>
      <c r="D488" s="346">
        <v>56</v>
      </c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>
        <v>88</v>
      </c>
      <c r="Q488" s="314">
        <f>AVERAGE(E488:P488)</f>
        <v>88</v>
      </c>
      <c r="R488" s="320" t="str">
        <f>IF(Q488&lt;5,"SI","NO")</f>
        <v>NO</v>
      </c>
      <c r="S488" s="316" t="str">
        <f>IF(Q488&lt;5,"Sin Riesgo",IF(Q488 &lt;=14,"Bajo",IF(Q488&lt;=35,"Medio",IF(Q488&lt;=80,"Alto","Inviable Sanitariamente"))))</f>
        <v>Inviable Sanitariamente</v>
      </c>
    </row>
    <row r="489" spans="1:19" ht="32.1" customHeight="1">
      <c r="A489" s="568" t="s">
        <v>93</v>
      </c>
      <c r="B489" s="680" t="s">
        <v>4040</v>
      </c>
      <c r="C489" s="674" t="s">
        <v>4041</v>
      </c>
      <c r="D489" s="346">
        <v>40</v>
      </c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>
        <v>64</v>
      </c>
      <c r="Q489" s="314">
        <f t="shared" si="26"/>
        <v>64</v>
      </c>
      <c r="R489" s="320" t="str">
        <f t="shared" si="28"/>
        <v>NO</v>
      </c>
      <c r="S489" s="316" t="str">
        <f t="shared" si="27"/>
        <v>Alto</v>
      </c>
    </row>
    <row r="490" spans="1:19" ht="36.75" customHeight="1">
      <c r="A490" s="568" t="s">
        <v>218</v>
      </c>
      <c r="B490" s="604" t="s">
        <v>1373</v>
      </c>
      <c r="C490" s="677" t="s">
        <v>1333</v>
      </c>
      <c r="D490" s="312">
        <v>110</v>
      </c>
      <c r="E490" s="46">
        <v>0</v>
      </c>
      <c r="F490" s="46">
        <v>0</v>
      </c>
      <c r="G490" s="46"/>
      <c r="H490" s="46"/>
      <c r="I490" s="46"/>
      <c r="J490" s="46">
        <v>0</v>
      </c>
      <c r="K490" s="46"/>
      <c r="L490" s="46"/>
      <c r="M490" s="46"/>
      <c r="N490" s="46">
        <v>0</v>
      </c>
      <c r="O490" s="46"/>
      <c r="P490" s="46"/>
      <c r="Q490" s="314">
        <f t="shared" si="26"/>
        <v>0</v>
      </c>
      <c r="R490" s="331" t="str">
        <f t="shared" si="28"/>
        <v>SI</v>
      </c>
      <c r="S490" s="316" t="str">
        <f t="shared" si="27"/>
        <v>Sin Riesgo</v>
      </c>
    </row>
    <row r="491" spans="1:19" ht="36.75" customHeight="1">
      <c r="A491" s="568" t="s">
        <v>218</v>
      </c>
      <c r="B491" s="604" t="s">
        <v>4296</v>
      </c>
      <c r="C491" s="677" t="s">
        <v>4297</v>
      </c>
      <c r="D491" s="312"/>
      <c r="E491" s="46"/>
      <c r="F491" s="46"/>
      <c r="G491" s="46">
        <v>0</v>
      </c>
      <c r="H491" s="46"/>
      <c r="I491" s="46"/>
      <c r="J491" s="46"/>
      <c r="K491" s="46">
        <v>0</v>
      </c>
      <c r="L491" s="46"/>
      <c r="M491" s="46"/>
      <c r="N491" s="46"/>
      <c r="O491" s="46">
        <v>0</v>
      </c>
      <c r="P491" s="46"/>
      <c r="Q491" s="314">
        <f>AVERAGE(E491:P491)</f>
        <v>0</v>
      </c>
      <c r="R491" s="331" t="str">
        <f>IF(Q491&lt;5,"SI","NO")</f>
        <v>SI</v>
      </c>
      <c r="S491" s="316" t="str">
        <f>IF(Q491&lt;5,"Sin Riesgo",IF(Q491 &lt;=14,"Bajo",IF(Q491&lt;=35,"Medio",IF(Q491&lt;=80,"Alto","Inviable Sanitariamente"))))</f>
        <v>Sin Riesgo</v>
      </c>
    </row>
    <row r="492" spans="1:19" ht="32.1" customHeight="1">
      <c r="A492" s="444" t="s">
        <v>218</v>
      </c>
      <c r="B492" s="319" t="s">
        <v>1374</v>
      </c>
      <c r="C492" s="377" t="s">
        <v>1334</v>
      </c>
      <c r="D492" s="312">
        <v>165</v>
      </c>
      <c r="E492" s="46">
        <v>0</v>
      </c>
      <c r="F492" s="46"/>
      <c r="G492" s="46"/>
      <c r="H492" s="46"/>
      <c r="I492" s="46">
        <v>0</v>
      </c>
      <c r="J492" s="46">
        <v>0</v>
      </c>
      <c r="K492" s="46"/>
      <c r="L492" s="46"/>
      <c r="M492" s="46"/>
      <c r="N492" s="46">
        <v>0</v>
      </c>
      <c r="O492" s="46">
        <v>0</v>
      </c>
      <c r="P492" s="46">
        <v>0</v>
      </c>
      <c r="Q492" s="314">
        <f t="shared" si="26"/>
        <v>0</v>
      </c>
      <c r="R492" s="331" t="str">
        <f t="shared" si="28"/>
        <v>SI</v>
      </c>
      <c r="S492" s="316" t="str">
        <f t="shared" si="27"/>
        <v>Sin Riesgo</v>
      </c>
    </row>
    <row r="493" spans="1:19" ht="32.1" customHeight="1">
      <c r="A493" s="444" t="s">
        <v>218</v>
      </c>
      <c r="B493" s="319" t="s">
        <v>1375</v>
      </c>
      <c r="C493" s="377" t="s">
        <v>1335</v>
      </c>
      <c r="D493" s="312">
        <v>165</v>
      </c>
      <c r="E493" s="46"/>
      <c r="F493" s="46">
        <v>0</v>
      </c>
      <c r="G493" s="46">
        <v>0</v>
      </c>
      <c r="H493" s="46">
        <v>0</v>
      </c>
      <c r="I493" s="46"/>
      <c r="J493" s="46"/>
      <c r="K493" s="46">
        <v>0</v>
      </c>
      <c r="L493" s="46">
        <v>0</v>
      </c>
      <c r="M493" s="46">
        <v>0</v>
      </c>
      <c r="N493" s="46"/>
      <c r="O493" s="46"/>
      <c r="P493" s="46"/>
      <c r="Q493" s="314">
        <f t="shared" si="26"/>
        <v>0</v>
      </c>
      <c r="R493" s="331" t="str">
        <f t="shared" si="28"/>
        <v>SI</v>
      </c>
      <c r="S493" s="316" t="str">
        <f t="shared" si="27"/>
        <v>Sin Riesgo</v>
      </c>
    </row>
    <row r="494" spans="1:19" ht="32.1" customHeight="1">
      <c r="A494" s="444" t="s">
        <v>218</v>
      </c>
      <c r="B494" s="319" t="s">
        <v>1376</v>
      </c>
      <c r="C494" s="377" t="s">
        <v>1336</v>
      </c>
      <c r="D494" s="312">
        <v>100</v>
      </c>
      <c r="E494" s="46"/>
      <c r="F494" s="46"/>
      <c r="G494" s="46"/>
      <c r="H494" s="46">
        <v>0</v>
      </c>
      <c r="I494" s="46"/>
      <c r="J494" s="46"/>
      <c r="K494" s="46"/>
      <c r="L494" s="46">
        <v>0</v>
      </c>
      <c r="M494" s="46"/>
      <c r="N494" s="46"/>
      <c r="O494" s="46"/>
      <c r="P494" s="46">
        <v>0</v>
      </c>
      <c r="Q494" s="46">
        <f t="shared" si="26"/>
        <v>0</v>
      </c>
      <c r="R494" s="331" t="str">
        <f t="shared" si="28"/>
        <v>SI</v>
      </c>
      <c r="S494" s="316" t="str">
        <f t="shared" si="27"/>
        <v>Sin Riesgo</v>
      </c>
    </row>
    <row r="495" spans="1:19" ht="32.1" customHeight="1">
      <c r="A495" s="444" t="s">
        <v>218</v>
      </c>
      <c r="B495" s="319" t="s">
        <v>1075</v>
      </c>
      <c r="C495" s="377" t="s">
        <v>1337</v>
      </c>
      <c r="D495" s="312">
        <v>681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314">
        <f t="shared" si="26"/>
        <v>0</v>
      </c>
      <c r="R495" s="331" t="str">
        <f t="shared" si="28"/>
        <v>SI</v>
      </c>
      <c r="S495" s="316" t="str">
        <f t="shared" si="27"/>
        <v>Sin Riesgo</v>
      </c>
    </row>
    <row r="496" spans="1:19" ht="32.1" customHeight="1">
      <c r="A496" s="444" t="s">
        <v>218</v>
      </c>
      <c r="B496" s="319" t="s">
        <v>1370</v>
      </c>
      <c r="C496" s="377" t="s">
        <v>1338</v>
      </c>
      <c r="D496" s="312">
        <v>45</v>
      </c>
      <c r="E496" s="46">
        <v>0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314">
        <f t="shared" ref="Q496:Q558" si="29">AVERAGE(E496:P496)</f>
        <v>0</v>
      </c>
      <c r="R496" s="331" t="str">
        <f t="shared" si="28"/>
        <v>SI</v>
      </c>
      <c r="S496" s="316" t="str">
        <f t="shared" si="27"/>
        <v>Sin Riesgo</v>
      </c>
    </row>
    <row r="497" spans="1:19" ht="32.1" customHeight="1">
      <c r="A497" s="568" t="s">
        <v>218</v>
      </c>
      <c r="B497" s="604" t="s">
        <v>1370</v>
      </c>
      <c r="C497" s="677" t="s">
        <v>1339</v>
      </c>
      <c r="D497" s="312">
        <v>103</v>
      </c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314"/>
      <c r="R497" s="331"/>
      <c r="S497" s="316"/>
    </row>
    <row r="498" spans="1:19" ht="32.1" customHeight="1">
      <c r="A498" s="568" t="s">
        <v>218</v>
      </c>
      <c r="B498" s="604" t="s">
        <v>1367</v>
      </c>
      <c r="C498" s="677" t="s">
        <v>1340</v>
      </c>
      <c r="D498" s="312">
        <v>66</v>
      </c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314"/>
      <c r="R498" s="331"/>
      <c r="S498" s="316"/>
    </row>
    <row r="499" spans="1:19" ht="32.1" customHeight="1">
      <c r="A499" s="568" t="s">
        <v>218</v>
      </c>
      <c r="B499" s="604" t="s">
        <v>1371</v>
      </c>
      <c r="C499" s="677" t="s">
        <v>1341</v>
      </c>
      <c r="D499" s="312">
        <v>34</v>
      </c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314"/>
      <c r="R499" s="331"/>
      <c r="S499" s="316"/>
    </row>
    <row r="500" spans="1:19" ht="32.1" customHeight="1">
      <c r="A500" s="568" t="s">
        <v>218</v>
      </c>
      <c r="B500" s="580" t="s">
        <v>1368</v>
      </c>
      <c r="C500" s="668" t="s">
        <v>1342</v>
      </c>
      <c r="D500" s="312">
        <v>45</v>
      </c>
      <c r="E500" s="46"/>
      <c r="F500" s="46"/>
      <c r="G500" s="46"/>
      <c r="H500" s="46"/>
      <c r="I500" s="46">
        <v>0</v>
      </c>
      <c r="J500" s="46"/>
      <c r="K500" s="46"/>
      <c r="L500" s="46"/>
      <c r="M500" s="46"/>
      <c r="N500" s="46"/>
      <c r="O500" s="46">
        <v>0</v>
      </c>
      <c r="P500" s="46"/>
      <c r="Q500" s="314">
        <f t="shared" si="29"/>
        <v>0</v>
      </c>
      <c r="R500" s="331" t="str">
        <f t="shared" si="28"/>
        <v>SI</v>
      </c>
      <c r="S500" s="316" t="str">
        <f t="shared" si="27"/>
        <v>Sin Riesgo</v>
      </c>
    </row>
    <row r="501" spans="1:19" ht="32.1" customHeight="1">
      <c r="A501" s="568" t="s">
        <v>218</v>
      </c>
      <c r="B501" s="580" t="s">
        <v>0</v>
      </c>
      <c r="C501" s="668" t="s">
        <v>1343</v>
      </c>
      <c r="D501" s="312">
        <v>52</v>
      </c>
      <c r="E501" s="46"/>
      <c r="F501" s="46"/>
      <c r="G501" s="46"/>
      <c r="H501" s="46"/>
      <c r="I501" s="46"/>
      <c r="J501" s="46">
        <v>0</v>
      </c>
      <c r="K501" s="46"/>
      <c r="L501" s="46"/>
      <c r="M501" s="46"/>
      <c r="N501" s="46"/>
      <c r="O501" s="46"/>
      <c r="P501" s="46">
        <v>0</v>
      </c>
      <c r="Q501" s="314">
        <f t="shared" si="29"/>
        <v>0</v>
      </c>
      <c r="R501" s="331" t="str">
        <f t="shared" si="28"/>
        <v>SI</v>
      </c>
      <c r="S501" s="316" t="str">
        <f t="shared" si="27"/>
        <v>Sin Riesgo</v>
      </c>
    </row>
    <row r="502" spans="1:19" ht="32.1" customHeight="1">
      <c r="A502" s="568" t="s">
        <v>218</v>
      </c>
      <c r="B502" s="580" t="s">
        <v>64</v>
      </c>
      <c r="C502" s="668" t="s">
        <v>1344</v>
      </c>
      <c r="D502" s="312">
        <v>47</v>
      </c>
      <c r="E502" s="46">
        <v>0</v>
      </c>
      <c r="F502" s="46">
        <v>0</v>
      </c>
      <c r="G502" s="46">
        <v>0</v>
      </c>
      <c r="H502" s="46">
        <v>0</v>
      </c>
      <c r="I502" s="46"/>
      <c r="J502" s="46"/>
      <c r="K502" s="46">
        <v>0</v>
      </c>
      <c r="L502" s="46">
        <v>0</v>
      </c>
      <c r="M502" s="46">
        <v>0</v>
      </c>
      <c r="N502" s="46">
        <v>0</v>
      </c>
      <c r="O502" s="46"/>
      <c r="P502" s="46"/>
      <c r="Q502" s="314">
        <f t="shared" si="29"/>
        <v>0</v>
      </c>
      <c r="R502" s="331" t="str">
        <f t="shared" si="28"/>
        <v>SI</v>
      </c>
      <c r="S502" s="316" t="str">
        <f t="shared" si="27"/>
        <v>Sin Riesgo</v>
      </c>
    </row>
    <row r="503" spans="1:19" ht="32.1" customHeight="1">
      <c r="A503" s="568" t="s">
        <v>218</v>
      </c>
      <c r="B503" s="580" t="s">
        <v>512</v>
      </c>
      <c r="C503" s="668" t="s">
        <v>1345</v>
      </c>
      <c r="D503" s="312">
        <v>113</v>
      </c>
      <c r="E503" s="46">
        <v>0</v>
      </c>
      <c r="F503" s="46">
        <v>0</v>
      </c>
      <c r="G503" s="46">
        <v>0</v>
      </c>
      <c r="H503" s="46"/>
      <c r="I503" s="46"/>
      <c r="J503" s="46"/>
      <c r="K503" s="46">
        <v>0</v>
      </c>
      <c r="L503" s="46">
        <v>0</v>
      </c>
      <c r="M503" s="46">
        <v>0</v>
      </c>
      <c r="N503" s="46"/>
      <c r="O503" s="46"/>
      <c r="P503" s="46"/>
      <c r="Q503" s="314">
        <f t="shared" si="29"/>
        <v>0</v>
      </c>
      <c r="R503" s="331" t="str">
        <f t="shared" si="28"/>
        <v>SI</v>
      </c>
      <c r="S503" s="316" t="str">
        <f t="shared" si="27"/>
        <v>Sin Riesgo</v>
      </c>
    </row>
    <row r="504" spans="1:19" ht="32.1" customHeight="1">
      <c r="A504" s="568" t="s">
        <v>218</v>
      </c>
      <c r="B504" s="580" t="s">
        <v>1377</v>
      </c>
      <c r="C504" s="668" t="s">
        <v>1346</v>
      </c>
      <c r="D504" s="312">
        <v>347</v>
      </c>
      <c r="E504" s="46"/>
      <c r="F504" s="46"/>
      <c r="G504" s="46"/>
      <c r="H504" s="46">
        <v>0</v>
      </c>
      <c r="I504" s="46">
        <v>0</v>
      </c>
      <c r="J504" s="46"/>
      <c r="K504" s="46"/>
      <c r="L504" s="46"/>
      <c r="M504" s="46"/>
      <c r="N504" s="46">
        <v>0</v>
      </c>
      <c r="O504" s="46">
        <v>0</v>
      </c>
      <c r="P504" s="46"/>
      <c r="Q504" s="314">
        <f t="shared" si="29"/>
        <v>0</v>
      </c>
      <c r="R504" s="331" t="str">
        <f t="shared" si="28"/>
        <v>SI</v>
      </c>
      <c r="S504" s="316" t="str">
        <f t="shared" si="27"/>
        <v>Sin Riesgo</v>
      </c>
    </row>
    <row r="505" spans="1:19" ht="32.1" customHeight="1">
      <c r="A505" s="568" t="s">
        <v>218</v>
      </c>
      <c r="B505" s="580" t="s">
        <v>1096</v>
      </c>
      <c r="C505" s="668" t="s">
        <v>1347</v>
      </c>
      <c r="D505" s="312">
        <v>123</v>
      </c>
      <c r="E505" s="46"/>
      <c r="F505" s="46"/>
      <c r="G505" s="46"/>
      <c r="H505" s="46"/>
      <c r="I505" s="46"/>
      <c r="J505" s="46">
        <v>0</v>
      </c>
      <c r="K505" s="46"/>
      <c r="L505" s="46"/>
      <c r="M505" s="46"/>
      <c r="N505" s="46"/>
      <c r="O505" s="46"/>
      <c r="P505" s="46">
        <v>0</v>
      </c>
      <c r="Q505" s="314">
        <f t="shared" si="29"/>
        <v>0</v>
      </c>
      <c r="R505" s="331" t="str">
        <f t="shared" si="28"/>
        <v>SI</v>
      </c>
      <c r="S505" s="316" t="str">
        <f t="shared" si="27"/>
        <v>Sin Riesgo</v>
      </c>
    </row>
    <row r="506" spans="1:19" ht="32.1" customHeight="1">
      <c r="A506" s="568" t="s">
        <v>218</v>
      </c>
      <c r="B506" s="580" t="s">
        <v>941</v>
      </c>
      <c r="C506" s="668" t="s">
        <v>1348</v>
      </c>
      <c r="D506" s="312">
        <v>51</v>
      </c>
      <c r="E506" s="46"/>
      <c r="F506" s="46">
        <v>0</v>
      </c>
      <c r="G506" s="46">
        <v>0</v>
      </c>
      <c r="H506" s="46">
        <v>0</v>
      </c>
      <c r="I506" s="46"/>
      <c r="J506" s="46"/>
      <c r="K506" s="46">
        <v>0</v>
      </c>
      <c r="L506" s="46">
        <v>0</v>
      </c>
      <c r="M506" s="46">
        <v>0</v>
      </c>
      <c r="N506" s="46"/>
      <c r="O506" s="46"/>
      <c r="P506" s="46">
        <v>0</v>
      </c>
      <c r="Q506" s="314">
        <f t="shared" si="29"/>
        <v>0</v>
      </c>
      <c r="R506" s="331" t="str">
        <f t="shared" si="28"/>
        <v>SI</v>
      </c>
      <c r="S506" s="316" t="str">
        <f t="shared" si="27"/>
        <v>Sin Riesgo</v>
      </c>
    </row>
    <row r="507" spans="1:19" ht="32.1" customHeight="1">
      <c r="A507" s="568" t="s">
        <v>218</v>
      </c>
      <c r="B507" s="604" t="s">
        <v>1378</v>
      </c>
      <c r="C507" s="677" t="s">
        <v>1349</v>
      </c>
      <c r="D507" s="312">
        <v>63</v>
      </c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314"/>
      <c r="R507" s="331"/>
      <c r="S507" s="316"/>
    </row>
    <row r="508" spans="1:19" ht="32.1" customHeight="1">
      <c r="A508" s="568" t="s">
        <v>218</v>
      </c>
      <c r="B508" s="580" t="s">
        <v>64</v>
      </c>
      <c r="C508" s="668" t="s">
        <v>1350</v>
      </c>
      <c r="D508" s="312">
        <v>47</v>
      </c>
      <c r="E508" s="46">
        <v>0</v>
      </c>
      <c r="F508" s="46"/>
      <c r="G508" s="46"/>
      <c r="H508" s="46"/>
      <c r="I508" s="46"/>
      <c r="J508" s="46">
        <v>0</v>
      </c>
      <c r="K508" s="46"/>
      <c r="L508" s="46"/>
      <c r="M508" s="46"/>
      <c r="N508" s="46"/>
      <c r="O508" s="46">
        <v>0</v>
      </c>
      <c r="P508" s="46"/>
      <c r="Q508" s="314">
        <f t="shared" si="29"/>
        <v>0</v>
      </c>
      <c r="R508" s="331" t="str">
        <f t="shared" si="28"/>
        <v>SI</v>
      </c>
      <c r="S508" s="316" t="str">
        <f t="shared" si="27"/>
        <v>Sin Riesgo</v>
      </c>
    </row>
    <row r="509" spans="1:19" ht="32.1" customHeight="1">
      <c r="A509" s="568" t="s">
        <v>218</v>
      </c>
      <c r="B509" s="604" t="s">
        <v>1379</v>
      </c>
      <c r="C509" s="677" t="s">
        <v>1351</v>
      </c>
      <c r="D509" s="312">
        <v>70</v>
      </c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314"/>
      <c r="R509" s="331"/>
      <c r="S509" s="316"/>
    </row>
    <row r="510" spans="1:19" ht="32.1" customHeight="1">
      <c r="A510" s="568" t="s">
        <v>218</v>
      </c>
      <c r="B510" s="580" t="s">
        <v>433</v>
      </c>
      <c r="C510" s="668" t="s">
        <v>1352</v>
      </c>
      <c r="D510" s="312">
        <v>47</v>
      </c>
      <c r="E510" s="46"/>
      <c r="F510" s="46"/>
      <c r="G510" s="46"/>
      <c r="H510" s="46"/>
      <c r="I510" s="46">
        <v>0</v>
      </c>
      <c r="J510" s="46"/>
      <c r="K510" s="46"/>
      <c r="L510" s="46"/>
      <c r="M510" s="46"/>
      <c r="N510" s="46">
        <v>0</v>
      </c>
      <c r="O510" s="46"/>
      <c r="P510" s="46"/>
      <c r="Q510" s="314">
        <f t="shared" si="29"/>
        <v>0</v>
      </c>
      <c r="R510" s="331" t="str">
        <f t="shared" si="28"/>
        <v>SI</v>
      </c>
      <c r="S510" s="316" t="str">
        <f t="shared" si="27"/>
        <v>Sin Riesgo</v>
      </c>
    </row>
    <row r="511" spans="1:19" ht="32.1" customHeight="1">
      <c r="A511" s="568" t="s">
        <v>218</v>
      </c>
      <c r="B511" s="604" t="s">
        <v>1380</v>
      </c>
      <c r="C511" s="677" t="s">
        <v>1353</v>
      </c>
      <c r="D511" s="312">
        <v>132</v>
      </c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314"/>
      <c r="R511" s="331"/>
      <c r="S511" s="316"/>
    </row>
    <row r="512" spans="1:19" ht="32.1" customHeight="1">
      <c r="A512" s="444" t="s">
        <v>218</v>
      </c>
      <c r="B512" s="319" t="s">
        <v>12</v>
      </c>
      <c r="C512" s="377" t="s">
        <v>1354</v>
      </c>
      <c r="D512" s="312">
        <v>126</v>
      </c>
      <c r="E512" s="46"/>
      <c r="F512" s="46"/>
      <c r="G512" s="46"/>
      <c r="H512" s="46"/>
      <c r="I512" s="46">
        <v>0</v>
      </c>
      <c r="J512" s="46"/>
      <c r="K512" s="46"/>
      <c r="L512" s="46"/>
      <c r="M512" s="46"/>
      <c r="N512" s="46">
        <v>0</v>
      </c>
      <c r="O512" s="46"/>
      <c r="P512" s="46"/>
      <c r="Q512" s="314">
        <f t="shared" si="29"/>
        <v>0</v>
      </c>
      <c r="R512" s="331" t="str">
        <f t="shared" si="28"/>
        <v>SI</v>
      </c>
      <c r="S512" s="316" t="str">
        <f t="shared" ref="S512:S559" si="30">IF(Q512&lt;5,"Sin Riesgo",IF(Q512 &lt;=14,"Bajo",IF(Q512&lt;=35,"Medio",IF(Q512&lt;=80,"Alto","Inviable Sanitariamente"))))</f>
        <v>Sin Riesgo</v>
      </c>
    </row>
    <row r="513" spans="1:19" ht="32.1" customHeight="1">
      <c r="A513" s="444" t="s">
        <v>218</v>
      </c>
      <c r="B513" s="319" t="s">
        <v>1116</v>
      </c>
      <c r="C513" s="377" t="s">
        <v>1355</v>
      </c>
      <c r="D513" s="312">
        <v>126</v>
      </c>
      <c r="E513" s="46"/>
      <c r="F513" s="46"/>
      <c r="G513" s="46">
        <v>0</v>
      </c>
      <c r="H513" s="46"/>
      <c r="I513" s="46"/>
      <c r="J513" s="46"/>
      <c r="K513" s="46"/>
      <c r="L513" s="46">
        <v>0</v>
      </c>
      <c r="M513" s="46"/>
      <c r="N513" s="46"/>
      <c r="O513" s="46"/>
      <c r="P513" s="46"/>
      <c r="Q513" s="314">
        <f t="shared" si="29"/>
        <v>0</v>
      </c>
      <c r="R513" s="331" t="str">
        <f t="shared" si="28"/>
        <v>SI</v>
      </c>
      <c r="S513" s="316" t="str">
        <f t="shared" si="30"/>
        <v>Sin Riesgo</v>
      </c>
    </row>
    <row r="514" spans="1:19" ht="32.1" customHeight="1">
      <c r="A514" s="444" t="s">
        <v>218</v>
      </c>
      <c r="B514" s="319" t="s">
        <v>1381</v>
      </c>
      <c r="C514" s="377" t="s">
        <v>1356</v>
      </c>
      <c r="D514" s="312">
        <v>126</v>
      </c>
      <c r="E514" s="46"/>
      <c r="F514" s="46"/>
      <c r="G514" s="46"/>
      <c r="H514" s="46">
        <v>0</v>
      </c>
      <c r="I514" s="46"/>
      <c r="J514" s="46"/>
      <c r="K514" s="46"/>
      <c r="L514" s="46"/>
      <c r="M514" s="46">
        <v>0</v>
      </c>
      <c r="N514" s="46"/>
      <c r="O514" s="46"/>
      <c r="P514" s="46"/>
      <c r="Q514" s="314">
        <f t="shared" si="29"/>
        <v>0</v>
      </c>
      <c r="R514" s="331" t="str">
        <f t="shared" si="28"/>
        <v>SI</v>
      </c>
      <c r="S514" s="316" t="str">
        <f t="shared" si="30"/>
        <v>Sin Riesgo</v>
      </c>
    </row>
    <row r="515" spans="1:19" ht="32.1" customHeight="1">
      <c r="A515" s="444" t="s">
        <v>218</v>
      </c>
      <c r="B515" s="319" t="s">
        <v>1382</v>
      </c>
      <c r="C515" s="377" t="s">
        <v>1357</v>
      </c>
      <c r="D515" s="312">
        <v>126</v>
      </c>
      <c r="E515" s="46"/>
      <c r="F515" s="46">
        <v>0</v>
      </c>
      <c r="G515" s="46"/>
      <c r="H515" s="46"/>
      <c r="I515" s="46"/>
      <c r="J515" s="46"/>
      <c r="K515" s="46">
        <v>0</v>
      </c>
      <c r="L515" s="46"/>
      <c r="M515" s="46"/>
      <c r="N515" s="46"/>
      <c r="O515" s="46"/>
      <c r="P515" s="46">
        <v>0</v>
      </c>
      <c r="Q515" s="314">
        <f t="shared" si="29"/>
        <v>0</v>
      </c>
      <c r="R515" s="331" t="str">
        <f t="shared" si="28"/>
        <v>SI</v>
      </c>
      <c r="S515" s="316" t="str">
        <f t="shared" si="30"/>
        <v>Sin Riesgo</v>
      </c>
    </row>
    <row r="516" spans="1:19" ht="32.1" customHeight="1">
      <c r="A516" s="568" t="s">
        <v>218</v>
      </c>
      <c r="B516" s="604" t="s">
        <v>1369</v>
      </c>
      <c r="C516" s="677" t="s">
        <v>1358</v>
      </c>
      <c r="D516" s="312">
        <v>64</v>
      </c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314"/>
      <c r="R516" s="331"/>
      <c r="S516" s="316"/>
    </row>
    <row r="517" spans="1:19" ht="32.1" customHeight="1">
      <c r="A517" s="444" t="s">
        <v>218</v>
      </c>
      <c r="B517" s="319" t="s">
        <v>4278</v>
      </c>
      <c r="C517" s="377" t="s">
        <v>4279</v>
      </c>
      <c r="D517" s="312">
        <v>210</v>
      </c>
      <c r="E517" s="46">
        <v>0</v>
      </c>
      <c r="F517" s="46"/>
      <c r="G517" s="46"/>
      <c r="H517" s="46"/>
      <c r="I517" s="46"/>
      <c r="J517" s="46"/>
      <c r="K517" s="46">
        <v>0</v>
      </c>
      <c r="L517" s="46"/>
      <c r="M517" s="46"/>
      <c r="N517" s="46"/>
      <c r="O517" s="46"/>
      <c r="P517" s="46"/>
      <c r="Q517" s="314">
        <f t="shared" si="29"/>
        <v>0</v>
      </c>
      <c r="R517" s="331" t="str">
        <f t="shared" si="28"/>
        <v>SI</v>
      </c>
      <c r="S517" s="316" t="str">
        <f t="shared" si="30"/>
        <v>Sin Riesgo</v>
      </c>
    </row>
    <row r="518" spans="1:19" ht="32.1" customHeight="1">
      <c r="A518" s="444" t="s">
        <v>218</v>
      </c>
      <c r="B518" s="319" t="s">
        <v>4280</v>
      </c>
      <c r="C518" s="377" t="s">
        <v>4281</v>
      </c>
      <c r="D518" s="312">
        <v>121</v>
      </c>
      <c r="E518" s="46"/>
      <c r="F518" s="46">
        <v>0</v>
      </c>
      <c r="G518" s="46"/>
      <c r="H518" s="46"/>
      <c r="I518" s="46"/>
      <c r="J518" s="46"/>
      <c r="K518" s="46"/>
      <c r="L518" s="46">
        <v>0</v>
      </c>
      <c r="M518" s="46"/>
      <c r="N518" s="46"/>
      <c r="O518" s="46"/>
      <c r="P518" s="46"/>
      <c r="Q518" s="314">
        <f t="shared" si="29"/>
        <v>0</v>
      </c>
      <c r="R518" s="331" t="str">
        <f t="shared" si="28"/>
        <v>SI</v>
      </c>
      <c r="S518" s="316" t="str">
        <f t="shared" si="30"/>
        <v>Sin Riesgo</v>
      </c>
    </row>
    <row r="519" spans="1:19" ht="32.1" customHeight="1">
      <c r="A519" s="444" t="s">
        <v>218</v>
      </c>
      <c r="B519" s="319" t="s">
        <v>4282</v>
      </c>
      <c r="C519" s="377" t="s">
        <v>4283</v>
      </c>
      <c r="D519" s="312">
        <v>135</v>
      </c>
      <c r="E519" s="46"/>
      <c r="F519" s="46"/>
      <c r="G519" s="46">
        <v>0</v>
      </c>
      <c r="H519" s="46"/>
      <c r="I519" s="46"/>
      <c r="J519" s="46"/>
      <c r="K519" s="46"/>
      <c r="L519" s="46"/>
      <c r="M519" s="46">
        <v>0</v>
      </c>
      <c r="N519" s="46"/>
      <c r="O519" s="46"/>
      <c r="P519" s="46"/>
      <c r="Q519" s="314">
        <f t="shared" si="29"/>
        <v>0</v>
      </c>
      <c r="R519" s="331" t="str">
        <f t="shared" si="28"/>
        <v>SI</v>
      </c>
      <c r="S519" s="316" t="str">
        <f t="shared" si="30"/>
        <v>Sin Riesgo</v>
      </c>
    </row>
    <row r="520" spans="1:19" ht="32.1" customHeight="1">
      <c r="A520" s="444" t="s">
        <v>218</v>
      </c>
      <c r="B520" s="319" t="s">
        <v>4284</v>
      </c>
      <c r="C520" s="377" t="s">
        <v>4285</v>
      </c>
      <c r="D520" s="538">
        <v>145</v>
      </c>
      <c r="E520" s="46"/>
      <c r="F520" s="46"/>
      <c r="G520" s="46"/>
      <c r="H520" s="46">
        <v>0</v>
      </c>
      <c r="I520" s="46"/>
      <c r="J520" s="46"/>
      <c r="K520" s="46"/>
      <c r="L520" s="46"/>
      <c r="M520" s="46"/>
      <c r="N520" s="46">
        <v>0</v>
      </c>
      <c r="O520" s="46"/>
      <c r="P520" s="46"/>
      <c r="Q520" s="314">
        <f t="shared" si="29"/>
        <v>0</v>
      </c>
      <c r="R520" s="331" t="str">
        <f t="shared" si="28"/>
        <v>SI</v>
      </c>
      <c r="S520" s="316" t="str">
        <f t="shared" si="30"/>
        <v>Sin Riesgo</v>
      </c>
    </row>
    <row r="521" spans="1:19" ht="32.1" customHeight="1">
      <c r="A521" s="444" t="s">
        <v>218</v>
      </c>
      <c r="B521" s="319" t="s">
        <v>4286</v>
      </c>
      <c r="C521" s="377" t="s">
        <v>4287</v>
      </c>
      <c r="D521" s="538">
        <v>129</v>
      </c>
      <c r="E521" s="46"/>
      <c r="F521" s="46"/>
      <c r="G521" s="46"/>
      <c r="H521" s="46"/>
      <c r="I521" s="46">
        <v>0</v>
      </c>
      <c r="J521" s="46"/>
      <c r="K521" s="46"/>
      <c r="L521" s="46"/>
      <c r="M521" s="46"/>
      <c r="N521" s="46"/>
      <c r="O521" s="46">
        <v>0</v>
      </c>
      <c r="P521" s="46"/>
      <c r="Q521" s="314">
        <f t="shared" si="29"/>
        <v>0</v>
      </c>
      <c r="R521" s="331" t="str">
        <f t="shared" si="28"/>
        <v>SI</v>
      </c>
      <c r="S521" s="316" t="str">
        <f t="shared" si="30"/>
        <v>Sin Riesgo</v>
      </c>
    </row>
    <row r="522" spans="1:19" ht="32.1" customHeight="1">
      <c r="A522" s="444" t="s">
        <v>218</v>
      </c>
      <c r="B522" s="319" t="s">
        <v>4288</v>
      </c>
      <c r="C522" s="377" t="s">
        <v>4289</v>
      </c>
      <c r="D522" s="538">
        <v>130</v>
      </c>
      <c r="E522" s="46"/>
      <c r="F522" s="46"/>
      <c r="G522" s="46"/>
      <c r="H522" s="46"/>
      <c r="I522" s="46"/>
      <c r="J522" s="46">
        <v>0</v>
      </c>
      <c r="K522" s="46"/>
      <c r="L522" s="46"/>
      <c r="M522" s="46"/>
      <c r="N522" s="46"/>
      <c r="O522" s="46"/>
      <c r="P522" s="46">
        <v>0</v>
      </c>
      <c r="Q522" s="314">
        <f t="shared" si="29"/>
        <v>0</v>
      </c>
      <c r="R522" s="331" t="str">
        <f t="shared" si="28"/>
        <v>SI</v>
      </c>
      <c r="S522" s="316" t="str">
        <f t="shared" si="30"/>
        <v>Sin Riesgo</v>
      </c>
    </row>
    <row r="523" spans="1:19" ht="32.1" customHeight="1">
      <c r="A523" s="444" t="s">
        <v>218</v>
      </c>
      <c r="B523" s="319" t="s">
        <v>1367</v>
      </c>
      <c r="C523" s="377" t="s">
        <v>1359</v>
      </c>
      <c r="D523" s="312">
        <v>49</v>
      </c>
      <c r="E523" s="46">
        <v>0</v>
      </c>
      <c r="F523" s="46">
        <v>0</v>
      </c>
      <c r="G523" s="46"/>
      <c r="H523" s="46"/>
      <c r="I523" s="46"/>
      <c r="J523" s="46"/>
      <c r="K523" s="46">
        <v>0</v>
      </c>
      <c r="L523" s="46">
        <v>0</v>
      </c>
      <c r="M523" s="46"/>
      <c r="N523" s="46"/>
      <c r="O523" s="46"/>
      <c r="P523" s="46"/>
      <c r="Q523" s="314">
        <f t="shared" si="29"/>
        <v>0</v>
      </c>
      <c r="R523" s="331" t="str">
        <f t="shared" si="28"/>
        <v>SI</v>
      </c>
      <c r="S523" s="316" t="str">
        <f t="shared" si="30"/>
        <v>Sin Riesgo</v>
      </c>
    </row>
    <row r="524" spans="1:19" ht="32.1" customHeight="1">
      <c r="A524" s="568" t="s">
        <v>218</v>
      </c>
      <c r="B524" s="604" t="s">
        <v>1368</v>
      </c>
      <c r="C524" s="677" t="s">
        <v>1360</v>
      </c>
      <c r="D524" s="539">
        <v>50</v>
      </c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314"/>
      <c r="R524" s="331"/>
      <c r="S524" s="316"/>
    </row>
    <row r="525" spans="1:19" ht="32.1" customHeight="1">
      <c r="A525" s="568" t="s">
        <v>218</v>
      </c>
      <c r="B525" s="580" t="s">
        <v>1369</v>
      </c>
      <c r="C525" s="668" t="s">
        <v>1361</v>
      </c>
      <c r="D525" s="312">
        <v>52</v>
      </c>
      <c r="E525" s="46"/>
      <c r="F525" s="46"/>
      <c r="G525" s="46"/>
      <c r="H525" s="46"/>
      <c r="I525" s="46"/>
      <c r="J525" s="46">
        <v>0</v>
      </c>
      <c r="K525" s="46"/>
      <c r="L525" s="46"/>
      <c r="M525" s="46"/>
      <c r="N525" s="46"/>
      <c r="O525" s="46"/>
      <c r="P525" s="46">
        <v>0</v>
      </c>
      <c r="Q525" s="314">
        <f t="shared" si="29"/>
        <v>0</v>
      </c>
      <c r="R525" s="331" t="str">
        <f t="shared" si="28"/>
        <v>SI</v>
      </c>
      <c r="S525" s="316" t="str">
        <f t="shared" si="30"/>
        <v>Sin Riesgo</v>
      </c>
    </row>
    <row r="526" spans="1:19" ht="32.1" customHeight="1">
      <c r="A526" s="568" t="s">
        <v>218</v>
      </c>
      <c r="B526" s="604" t="s">
        <v>1370</v>
      </c>
      <c r="C526" s="677" t="s">
        <v>1362</v>
      </c>
      <c r="D526" s="312">
        <v>52</v>
      </c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314"/>
      <c r="R526" s="331"/>
      <c r="S526" s="316"/>
    </row>
    <row r="527" spans="1:19" ht="32.1" customHeight="1">
      <c r="A527" s="568" t="s">
        <v>218</v>
      </c>
      <c r="B527" s="604" t="s">
        <v>59</v>
      </c>
      <c r="C527" s="677" t="s">
        <v>1363</v>
      </c>
      <c r="D527" s="312">
        <v>42</v>
      </c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314"/>
      <c r="R527" s="331"/>
      <c r="S527" s="316"/>
    </row>
    <row r="528" spans="1:19" ht="32.1" customHeight="1">
      <c r="A528" s="444" t="s">
        <v>218</v>
      </c>
      <c r="B528" s="319" t="s">
        <v>1371</v>
      </c>
      <c r="C528" s="377" t="s">
        <v>1364</v>
      </c>
      <c r="D528" s="312">
        <v>52</v>
      </c>
      <c r="E528" s="46"/>
      <c r="F528" s="46"/>
      <c r="G528" s="46">
        <v>0</v>
      </c>
      <c r="H528" s="46">
        <v>0</v>
      </c>
      <c r="I528" s="46">
        <v>0</v>
      </c>
      <c r="J528" s="46"/>
      <c r="K528" s="46"/>
      <c r="L528" s="46"/>
      <c r="M528" s="46">
        <v>0</v>
      </c>
      <c r="N528" s="46">
        <v>0</v>
      </c>
      <c r="O528" s="46">
        <v>0</v>
      </c>
      <c r="P528" s="46"/>
      <c r="Q528" s="46">
        <f t="shared" si="29"/>
        <v>0</v>
      </c>
      <c r="R528" s="331" t="str">
        <f t="shared" si="28"/>
        <v>SI</v>
      </c>
      <c r="S528" s="316" t="str">
        <f t="shared" si="30"/>
        <v>Sin Riesgo</v>
      </c>
    </row>
    <row r="529" spans="1:19" ht="32.1" customHeight="1">
      <c r="A529" s="444" t="s">
        <v>218</v>
      </c>
      <c r="B529" s="319" t="s">
        <v>1264</v>
      </c>
      <c r="C529" s="377" t="s">
        <v>1365</v>
      </c>
      <c r="D529" s="312">
        <v>195</v>
      </c>
      <c r="E529" s="46">
        <v>0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314">
        <f t="shared" si="29"/>
        <v>0</v>
      </c>
      <c r="R529" s="331" t="str">
        <f t="shared" si="28"/>
        <v>SI</v>
      </c>
      <c r="S529" s="316" t="str">
        <f t="shared" si="30"/>
        <v>Sin Riesgo</v>
      </c>
    </row>
    <row r="530" spans="1:19" ht="32.1" customHeight="1">
      <c r="A530" s="444" t="s">
        <v>218</v>
      </c>
      <c r="B530" s="319" t="s">
        <v>4290</v>
      </c>
      <c r="C530" s="377" t="s">
        <v>4291</v>
      </c>
      <c r="D530" s="312">
        <v>32</v>
      </c>
      <c r="E530" s="46"/>
      <c r="F530" s="46">
        <v>0</v>
      </c>
      <c r="G530" s="46"/>
      <c r="H530" s="46">
        <v>0</v>
      </c>
      <c r="I530" s="46"/>
      <c r="J530" s="46"/>
      <c r="K530" s="46"/>
      <c r="L530" s="46">
        <v>0</v>
      </c>
      <c r="M530" s="46"/>
      <c r="N530" s="46">
        <v>0</v>
      </c>
      <c r="O530" s="46"/>
      <c r="P530" s="46"/>
      <c r="Q530" s="314">
        <f t="shared" si="29"/>
        <v>0</v>
      </c>
      <c r="R530" s="331" t="str">
        <f t="shared" si="28"/>
        <v>SI</v>
      </c>
      <c r="S530" s="316" t="str">
        <f t="shared" si="30"/>
        <v>Sin Riesgo</v>
      </c>
    </row>
    <row r="531" spans="1:19" ht="32.1" customHeight="1">
      <c r="A531" s="444" t="s">
        <v>218</v>
      </c>
      <c r="B531" s="319" t="s">
        <v>4292</v>
      </c>
      <c r="C531" s="377" t="s">
        <v>4293</v>
      </c>
      <c r="D531" s="312">
        <v>42</v>
      </c>
      <c r="E531" s="46"/>
      <c r="F531" s="46"/>
      <c r="G531" s="46"/>
      <c r="H531" s="46"/>
      <c r="I531" s="46">
        <v>0</v>
      </c>
      <c r="J531" s="46"/>
      <c r="K531" s="46"/>
      <c r="L531" s="46"/>
      <c r="M531" s="46"/>
      <c r="N531" s="46"/>
      <c r="O531" s="46">
        <v>0</v>
      </c>
      <c r="P531" s="46"/>
      <c r="Q531" s="314">
        <f t="shared" si="29"/>
        <v>0</v>
      </c>
      <c r="R531" s="331" t="str">
        <f t="shared" si="28"/>
        <v>SI</v>
      </c>
      <c r="S531" s="316" t="str">
        <f t="shared" si="30"/>
        <v>Sin Riesgo</v>
      </c>
    </row>
    <row r="532" spans="1:19" ht="32.1" customHeight="1">
      <c r="A532" s="444" t="s">
        <v>218</v>
      </c>
      <c r="B532" s="319" t="s">
        <v>4294</v>
      </c>
      <c r="C532" s="377" t="s">
        <v>4295</v>
      </c>
      <c r="D532" s="312">
        <v>42</v>
      </c>
      <c r="E532" s="46"/>
      <c r="F532" s="46"/>
      <c r="G532" s="46"/>
      <c r="H532" s="46"/>
      <c r="I532" s="46"/>
      <c r="J532" s="46">
        <v>0</v>
      </c>
      <c r="K532" s="46"/>
      <c r="L532" s="46"/>
      <c r="M532" s="46"/>
      <c r="N532" s="46"/>
      <c r="O532" s="46"/>
      <c r="P532" s="46">
        <v>0</v>
      </c>
      <c r="Q532" s="314">
        <f t="shared" si="29"/>
        <v>0</v>
      </c>
      <c r="R532" s="331" t="str">
        <f t="shared" si="28"/>
        <v>SI</v>
      </c>
      <c r="S532" s="316" t="str">
        <f t="shared" si="30"/>
        <v>Sin Riesgo</v>
      </c>
    </row>
    <row r="533" spans="1:19" ht="32.1" customHeight="1">
      <c r="A533" s="444" t="s">
        <v>218</v>
      </c>
      <c r="B533" s="319" t="s">
        <v>4044</v>
      </c>
      <c r="C533" s="377" t="s">
        <v>4045</v>
      </c>
      <c r="D533" s="312">
        <v>45</v>
      </c>
      <c r="E533" s="46">
        <v>0</v>
      </c>
      <c r="F533" s="46"/>
      <c r="G533" s="46"/>
      <c r="H533" s="46"/>
      <c r="I533" s="46"/>
      <c r="J533" s="46">
        <v>0</v>
      </c>
      <c r="K533" s="46"/>
      <c r="L533" s="46"/>
      <c r="M533" s="46"/>
      <c r="N533" s="46"/>
      <c r="O533" s="46">
        <v>0</v>
      </c>
      <c r="P533" s="46"/>
      <c r="Q533" s="314">
        <f t="shared" si="29"/>
        <v>0</v>
      </c>
      <c r="R533" s="331" t="str">
        <f t="shared" si="28"/>
        <v>SI</v>
      </c>
      <c r="S533" s="316" t="str">
        <f t="shared" si="30"/>
        <v>Sin Riesgo</v>
      </c>
    </row>
    <row r="534" spans="1:19" ht="32.1" customHeight="1">
      <c r="A534" s="444" t="s">
        <v>218</v>
      </c>
      <c r="B534" s="319" t="s">
        <v>4042</v>
      </c>
      <c r="C534" s="377" t="s">
        <v>4043</v>
      </c>
      <c r="D534" s="312">
        <v>137</v>
      </c>
      <c r="E534" s="46"/>
      <c r="F534" s="46"/>
      <c r="G534" s="46"/>
      <c r="H534" s="46"/>
      <c r="I534" s="46">
        <v>0</v>
      </c>
      <c r="J534" s="46"/>
      <c r="K534" s="46"/>
      <c r="L534" s="46"/>
      <c r="M534" s="46">
        <v>0</v>
      </c>
      <c r="N534" s="46"/>
      <c r="O534" s="46"/>
      <c r="P534" s="46"/>
      <c r="Q534" s="314">
        <f t="shared" si="29"/>
        <v>0</v>
      </c>
      <c r="R534" s="331" t="str">
        <f t="shared" si="28"/>
        <v>SI</v>
      </c>
      <c r="S534" s="316" t="str">
        <f t="shared" si="30"/>
        <v>Sin Riesgo</v>
      </c>
    </row>
    <row r="535" spans="1:19" ht="32.1" customHeight="1">
      <c r="A535" s="444" t="s">
        <v>218</v>
      </c>
      <c r="B535" s="319" t="s">
        <v>0</v>
      </c>
      <c r="C535" s="377" t="s">
        <v>1366</v>
      </c>
      <c r="D535" s="312">
        <v>32</v>
      </c>
      <c r="E535" s="46">
        <v>0</v>
      </c>
      <c r="F535" s="46"/>
      <c r="G535" s="46">
        <v>0</v>
      </c>
      <c r="H535" s="46"/>
      <c r="I535" s="46"/>
      <c r="J535" s="46"/>
      <c r="K535" s="46">
        <v>0</v>
      </c>
      <c r="L535" s="46"/>
      <c r="M535" s="46">
        <v>0</v>
      </c>
      <c r="N535" s="46"/>
      <c r="O535" s="46"/>
      <c r="P535" s="46"/>
      <c r="Q535" s="314">
        <f t="shared" si="29"/>
        <v>0</v>
      </c>
      <c r="R535" s="331" t="str">
        <f t="shared" si="28"/>
        <v>SI</v>
      </c>
      <c r="S535" s="316" t="str">
        <f t="shared" si="30"/>
        <v>Sin Riesgo</v>
      </c>
    </row>
    <row r="536" spans="1:19" ht="32.1" customHeight="1">
      <c r="A536" s="444" t="s">
        <v>219</v>
      </c>
      <c r="B536" s="340" t="s">
        <v>1384</v>
      </c>
      <c r="C536" s="379" t="s">
        <v>1385</v>
      </c>
      <c r="D536" s="684">
        <v>838</v>
      </c>
      <c r="E536" s="47"/>
      <c r="F536" s="47"/>
      <c r="G536" s="47"/>
      <c r="H536" s="47"/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314">
        <f t="shared" si="29"/>
        <v>0</v>
      </c>
      <c r="R536" s="315" t="str">
        <f t="shared" si="28"/>
        <v>SI</v>
      </c>
      <c r="S536" s="316" t="str">
        <f t="shared" si="30"/>
        <v>Sin Riesgo</v>
      </c>
    </row>
    <row r="537" spans="1:19" ht="32.1" customHeight="1">
      <c r="A537" s="444" t="s">
        <v>219</v>
      </c>
      <c r="B537" s="340" t="s">
        <v>1139</v>
      </c>
      <c r="C537" s="379" t="s">
        <v>1386</v>
      </c>
      <c r="D537" s="684">
        <v>562</v>
      </c>
      <c r="E537" s="47"/>
      <c r="F537" s="47"/>
      <c r="G537" s="47"/>
      <c r="H537" s="47"/>
      <c r="I537" s="47">
        <v>47.62</v>
      </c>
      <c r="J537" s="47">
        <v>31.58</v>
      </c>
      <c r="K537" s="47">
        <v>0</v>
      </c>
      <c r="L537" s="47">
        <v>24</v>
      </c>
      <c r="M537" s="47">
        <v>45.65</v>
      </c>
      <c r="N537" s="47">
        <v>44.21</v>
      </c>
      <c r="O537" s="47">
        <v>0</v>
      </c>
      <c r="P537" s="47">
        <v>24</v>
      </c>
      <c r="Q537" s="314">
        <f t="shared" si="29"/>
        <v>27.1325</v>
      </c>
      <c r="R537" s="320" t="str">
        <f t="shared" si="28"/>
        <v>NO</v>
      </c>
      <c r="S537" s="316" t="str">
        <f t="shared" si="30"/>
        <v>Medio</v>
      </c>
    </row>
    <row r="538" spans="1:19" ht="32.1" customHeight="1">
      <c r="A538" s="444" t="s">
        <v>219</v>
      </c>
      <c r="B538" s="340" t="s">
        <v>1387</v>
      </c>
      <c r="C538" s="379" t="s">
        <v>1388</v>
      </c>
      <c r="D538" s="346">
        <v>170</v>
      </c>
      <c r="E538" s="47"/>
      <c r="F538" s="47"/>
      <c r="G538" s="47"/>
      <c r="H538" s="47"/>
      <c r="I538" s="47"/>
      <c r="J538" s="47"/>
      <c r="K538" s="47"/>
      <c r="L538" s="47"/>
      <c r="M538" s="47"/>
      <c r="N538" s="47">
        <v>100</v>
      </c>
      <c r="O538" s="47"/>
      <c r="P538" s="47"/>
      <c r="Q538" s="314">
        <f t="shared" si="29"/>
        <v>100</v>
      </c>
      <c r="R538" s="320" t="str">
        <f t="shared" si="28"/>
        <v>NO</v>
      </c>
      <c r="S538" s="316" t="str">
        <f t="shared" si="30"/>
        <v>Inviable Sanitariamente</v>
      </c>
    </row>
    <row r="539" spans="1:19" ht="32.1" customHeight="1">
      <c r="A539" s="444" t="s">
        <v>219</v>
      </c>
      <c r="B539" s="340" t="s">
        <v>1389</v>
      </c>
      <c r="C539" s="379" t="s">
        <v>1390</v>
      </c>
      <c r="D539" s="346">
        <v>52</v>
      </c>
      <c r="E539" s="47"/>
      <c r="F539" s="47"/>
      <c r="G539" s="47">
        <v>64</v>
      </c>
      <c r="H539" s="47"/>
      <c r="I539" s="47"/>
      <c r="J539" s="47"/>
      <c r="K539" s="47"/>
      <c r="L539" s="47"/>
      <c r="M539" s="47"/>
      <c r="N539" s="47"/>
      <c r="O539" s="47"/>
      <c r="P539" s="47">
        <v>96.39</v>
      </c>
      <c r="Q539" s="314">
        <f t="shared" si="29"/>
        <v>80.194999999999993</v>
      </c>
      <c r="R539" s="320" t="str">
        <f t="shared" si="28"/>
        <v>NO</v>
      </c>
      <c r="S539" s="316" t="str">
        <f t="shared" si="30"/>
        <v>Inviable Sanitariamente</v>
      </c>
    </row>
    <row r="540" spans="1:19" ht="32.1" customHeight="1">
      <c r="A540" s="444" t="s">
        <v>219</v>
      </c>
      <c r="B540" s="340" t="s">
        <v>1178</v>
      </c>
      <c r="C540" s="379" t="s">
        <v>1391</v>
      </c>
      <c r="D540" s="346">
        <v>10</v>
      </c>
      <c r="E540" s="47"/>
      <c r="F540" s="47">
        <v>96.37</v>
      </c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314">
        <f t="shared" si="29"/>
        <v>96.37</v>
      </c>
      <c r="R540" s="320" t="str">
        <f t="shared" si="28"/>
        <v>NO</v>
      </c>
      <c r="S540" s="316" t="str">
        <f t="shared" si="30"/>
        <v>Inviable Sanitariamente</v>
      </c>
    </row>
    <row r="541" spans="1:19" ht="32.1" customHeight="1">
      <c r="A541" s="444" t="s">
        <v>219</v>
      </c>
      <c r="B541" s="340" t="s">
        <v>1392</v>
      </c>
      <c r="C541" s="379" t="s">
        <v>1393</v>
      </c>
      <c r="D541" s="346">
        <v>100</v>
      </c>
      <c r="E541" s="47"/>
      <c r="F541" s="47"/>
      <c r="G541" s="47">
        <v>96.37</v>
      </c>
      <c r="H541" s="47"/>
      <c r="I541" s="47"/>
      <c r="J541" s="47"/>
      <c r="K541" s="47"/>
      <c r="L541" s="47"/>
      <c r="M541" s="47"/>
      <c r="N541" s="47"/>
      <c r="O541" s="47"/>
      <c r="P541" s="47">
        <v>84.21</v>
      </c>
      <c r="Q541" s="314">
        <f t="shared" si="29"/>
        <v>90.289999999999992</v>
      </c>
      <c r="R541" s="320" t="str">
        <f t="shared" si="28"/>
        <v>NO</v>
      </c>
      <c r="S541" s="316" t="str">
        <f t="shared" si="30"/>
        <v>Inviable Sanitariamente</v>
      </c>
    </row>
    <row r="542" spans="1:19" ht="32.1" customHeight="1">
      <c r="A542" s="444" t="s">
        <v>219</v>
      </c>
      <c r="B542" s="340" t="s">
        <v>820</v>
      </c>
      <c r="C542" s="379" t="s">
        <v>1394</v>
      </c>
      <c r="D542" s="346">
        <v>130</v>
      </c>
      <c r="E542" s="47"/>
      <c r="F542" s="47"/>
      <c r="G542" s="47"/>
      <c r="H542" s="47"/>
      <c r="I542" s="47">
        <v>93.33</v>
      </c>
      <c r="J542" s="47">
        <v>97.6</v>
      </c>
      <c r="K542" s="47">
        <v>95.24</v>
      </c>
      <c r="L542" s="47">
        <v>97.6</v>
      </c>
      <c r="M542" s="47">
        <v>100</v>
      </c>
      <c r="N542" s="47">
        <v>100</v>
      </c>
      <c r="O542" s="47">
        <v>96.84</v>
      </c>
      <c r="P542" s="47">
        <v>97.6</v>
      </c>
      <c r="Q542" s="314">
        <f t="shared" si="29"/>
        <v>97.276250000000005</v>
      </c>
      <c r="R542" s="320" t="str">
        <f t="shared" si="28"/>
        <v>NO</v>
      </c>
      <c r="S542" s="316" t="str">
        <f t="shared" si="30"/>
        <v>Inviable Sanitariamente</v>
      </c>
    </row>
    <row r="543" spans="1:19" ht="32.1" customHeight="1">
      <c r="A543" s="444" t="s">
        <v>219</v>
      </c>
      <c r="B543" s="340" t="s">
        <v>1382</v>
      </c>
      <c r="C543" s="379" t="s">
        <v>1395</v>
      </c>
      <c r="D543" s="399">
        <v>30</v>
      </c>
      <c r="E543" s="47"/>
      <c r="F543" s="47"/>
      <c r="G543" s="47">
        <v>64</v>
      </c>
      <c r="H543" s="47"/>
      <c r="I543" s="47"/>
      <c r="J543" s="47"/>
      <c r="K543" s="47"/>
      <c r="L543" s="47"/>
      <c r="M543" s="47"/>
      <c r="N543" s="47"/>
      <c r="O543" s="47"/>
      <c r="P543" s="47">
        <v>96.4</v>
      </c>
      <c r="Q543" s="314">
        <f t="shared" si="29"/>
        <v>80.2</v>
      </c>
      <c r="R543" s="320" t="str">
        <f t="shared" si="28"/>
        <v>NO</v>
      </c>
      <c r="S543" s="316" t="str">
        <f t="shared" si="30"/>
        <v>Inviable Sanitariamente</v>
      </c>
    </row>
    <row r="544" spans="1:19" ht="32.1" customHeight="1">
      <c r="A544" s="444" t="s">
        <v>219</v>
      </c>
      <c r="B544" s="340" t="s">
        <v>1396</v>
      </c>
      <c r="C544" s="379" t="s">
        <v>1397</v>
      </c>
      <c r="D544" s="346">
        <v>33</v>
      </c>
      <c r="E544" s="47"/>
      <c r="F544" s="47"/>
      <c r="G544" s="47"/>
      <c r="H544" s="47">
        <v>96.37</v>
      </c>
      <c r="I544" s="47"/>
      <c r="J544" s="47"/>
      <c r="K544" s="47"/>
      <c r="L544" s="47"/>
      <c r="M544" s="47"/>
      <c r="N544" s="47"/>
      <c r="O544" s="47"/>
      <c r="P544" s="47">
        <v>88</v>
      </c>
      <c r="Q544" s="314">
        <f t="shared" si="29"/>
        <v>92.185000000000002</v>
      </c>
      <c r="R544" s="320" t="str">
        <f t="shared" si="28"/>
        <v>NO</v>
      </c>
      <c r="S544" s="316" t="str">
        <f t="shared" si="30"/>
        <v>Inviable Sanitariamente</v>
      </c>
    </row>
    <row r="545" spans="1:19" ht="32.1" customHeight="1">
      <c r="A545" s="444" t="s">
        <v>219</v>
      </c>
      <c r="B545" s="340" t="s">
        <v>1398</v>
      </c>
      <c r="C545" s="379" t="s">
        <v>1399</v>
      </c>
      <c r="D545" s="346">
        <v>40</v>
      </c>
      <c r="E545" s="47"/>
      <c r="F545" s="47"/>
      <c r="G545" s="47"/>
      <c r="H545" s="47">
        <v>64</v>
      </c>
      <c r="I545" s="47"/>
      <c r="J545" s="47"/>
      <c r="K545" s="47"/>
      <c r="L545" s="47"/>
      <c r="M545" s="47"/>
      <c r="N545" s="47"/>
      <c r="O545" s="47"/>
      <c r="P545" s="47">
        <v>96.4</v>
      </c>
      <c r="Q545" s="314">
        <f t="shared" si="29"/>
        <v>80.2</v>
      </c>
      <c r="R545" s="320" t="str">
        <f t="shared" ref="R545:R559" si="31">IF(Q545&lt;5,"SI","NO")</f>
        <v>NO</v>
      </c>
      <c r="S545" s="316" t="str">
        <f t="shared" si="30"/>
        <v>Inviable Sanitariamente</v>
      </c>
    </row>
    <row r="546" spans="1:19" ht="32.1" customHeight="1">
      <c r="A546" s="444" t="s">
        <v>219</v>
      </c>
      <c r="B546" s="340" t="s">
        <v>1400</v>
      </c>
      <c r="C546" s="379" t="s">
        <v>1401</v>
      </c>
      <c r="D546" s="399">
        <v>29</v>
      </c>
      <c r="E546" s="47"/>
      <c r="F546" s="47"/>
      <c r="G546" s="47">
        <v>70.8</v>
      </c>
      <c r="H546" s="47"/>
      <c r="I546" s="47"/>
      <c r="J546" s="47"/>
      <c r="K546" s="47"/>
      <c r="L546" s="47"/>
      <c r="M546" s="47"/>
      <c r="N546" s="47"/>
      <c r="O546" s="47"/>
      <c r="P546" s="47">
        <v>96.4</v>
      </c>
      <c r="Q546" s="314">
        <f t="shared" si="29"/>
        <v>83.6</v>
      </c>
      <c r="R546" s="320" t="str">
        <f t="shared" si="31"/>
        <v>NO</v>
      </c>
      <c r="S546" s="316" t="str">
        <f t="shared" si="30"/>
        <v>Inviable Sanitariamente</v>
      </c>
    </row>
    <row r="547" spans="1:19" ht="32.1" customHeight="1">
      <c r="A547" s="568" t="s">
        <v>219</v>
      </c>
      <c r="B547" s="601" t="s">
        <v>1402</v>
      </c>
      <c r="C547" s="674" t="s">
        <v>1403</v>
      </c>
      <c r="D547" s="383">
        <v>300</v>
      </c>
      <c r="E547" s="46"/>
      <c r="F547" s="46">
        <v>97.3</v>
      </c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314">
        <f t="shared" si="29"/>
        <v>97.3</v>
      </c>
      <c r="R547" s="320" t="str">
        <f t="shared" si="31"/>
        <v>NO</v>
      </c>
      <c r="S547" s="316" t="str">
        <f t="shared" si="30"/>
        <v>Inviable Sanitariamente</v>
      </c>
    </row>
    <row r="548" spans="1:19" ht="32.1" customHeight="1">
      <c r="A548" s="444" t="s">
        <v>219</v>
      </c>
      <c r="B548" s="340" t="s">
        <v>9</v>
      </c>
      <c r="C548" s="379" t="s">
        <v>1404</v>
      </c>
      <c r="D548" s="346">
        <v>16</v>
      </c>
      <c r="E548" s="47"/>
      <c r="F548" s="47"/>
      <c r="G548" s="47"/>
      <c r="H548" s="47">
        <v>64</v>
      </c>
      <c r="I548" s="47"/>
      <c r="J548" s="47"/>
      <c r="K548" s="47"/>
      <c r="L548" s="47">
        <v>96.39</v>
      </c>
      <c r="M548" s="47"/>
      <c r="N548" s="47"/>
      <c r="O548" s="47"/>
      <c r="P548" s="47"/>
      <c r="Q548" s="314">
        <f t="shared" si="29"/>
        <v>80.194999999999993</v>
      </c>
      <c r="R548" s="320" t="str">
        <f t="shared" si="31"/>
        <v>NO</v>
      </c>
      <c r="S548" s="316" t="str">
        <f t="shared" si="30"/>
        <v>Inviable Sanitariamente</v>
      </c>
    </row>
    <row r="549" spans="1:19" ht="32.1" customHeight="1">
      <c r="A549" s="444" t="s">
        <v>219</v>
      </c>
      <c r="B549" s="340" t="s">
        <v>1405</v>
      </c>
      <c r="C549" s="379" t="s">
        <v>1406</v>
      </c>
      <c r="D549" s="399">
        <v>14</v>
      </c>
      <c r="E549" s="47"/>
      <c r="F549" s="47"/>
      <c r="G549" s="47"/>
      <c r="H549" s="47">
        <v>96.37</v>
      </c>
      <c r="I549" s="47"/>
      <c r="J549" s="47"/>
      <c r="K549" s="47"/>
      <c r="L549" s="47"/>
      <c r="M549" s="47"/>
      <c r="N549" s="47"/>
      <c r="O549" s="47"/>
      <c r="P549" s="47">
        <v>84.21</v>
      </c>
      <c r="Q549" s="314">
        <f t="shared" si="29"/>
        <v>90.289999999999992</v>
      </c>
      <c r="R549" s="320" t="str">
        <f t="shared" si="31"/>
        <v>NO</v>
      </c>
      <c r="S549" s="316" t="str">
        <f t="shared" si="30"/>
        <v>Inviable Sanitariamente</v>
      </c>
    </row>
    <row r="550" spans="1:19" ht="32.1" customHeight="1">
      <c r="A550" s="444" t="s">
        <v>219</v>
      </c>
      <c r="B550" s="340" t="s">
        <v>1407</v>
      </c>
      <c r="C550" s="379" t="s">
        <v>1408</v>
      </c>
      <c r="D550" s="346">
        <v>74</v>
      </c>
      <c r="E550" s="47"/>
      <c r="F550" s="47"/>
      <c r="G550" s="47"/>
      <c r="H550" s="47">
        <v>64</v>
      </c>
      <c r="I550" s="47"/>
      <c r="J550" s="47"/>
      <c r="K550" s="47"/>
      <c r="L550" s="47">
        <v>96.39</v>
      </c>
      <c r="M550" s="47"/>
      <c r="N550" s="47"/>
      <c r="O550" s="47"/>
      <c r="P550" s="47"/>
      <c r="Q550" s="314">
        <f t="shared" si="29"/>
        <v>80.194999999999993</v>
      </c>
      <c r="R550" s="315" t="str">
        <f t="shared" si="31"/>
        <v>NO</v>
      </c>
      <c r="S550" s="316" t="str">
        <f t="shared" si="30"/>
        <v>Inviable Sanitariamente</v>
      </c>
    </row>
    <row r="551" spans="1:19" ht="32.1" customHeight="1">
      <c r="A551" s="444" t="s">
        <v>219</v>
      </c>
      <c r="B551" s="340" t="s">
        <v>1013</v>
      </c>
      <c r="C551" s="379" t="s">
        <v>1409</v>
      </c>
      <c r="D551" s="346">
        <v>14</v>
      </c>
      <c r="E551" s="47"/>
      <c r="F551" s="47"/>
      <c r="G551" s="47">
        <v>64</v>
      </c>
      <c r="H551" s="47"/>
      <c r="I551" s="47"/>
      <c r="J551" s="47"/>
      <c r="K551" s="47"/>
      <c r="L551" s="47"/>
      <c r="M551" s="47"/>
      <c r="N551" s="47"/>
      <c r="O551" s="47"/>
      <c r="P551" s="47">
        <v>96.39</v>
      </c>
      <c r="Q551" s="314">
        <f t="shared" si="29"/>
        <v>80.194999999999993</v>
      </c>
      <c r="R551" s="320" t="str">
        <f t="shared" si="31"/>
        <v>NO</v>
      </c>
      <c r="S551" s="316" t="str">
        <f t="shared" si="30"/>
        <v>Inviable Sanitariamente</v>
      </c>
    </row>
    <row r="552" spans="1:19" s="152" customFormat="1" ht="32.1" customHeight="1">
      <c r="A552" s="444" t="s">
        <v>219</v>
      </c>
      <c r="B552" s="340" t="s">
        <v>1410</v>
      </c>
      <c r="C552" s="379" t="s">
        <v>1411</v>
      </c>
      <c r="D552" s="346">
        <v>60</v>
      </c>
      <c r="E552" s="47"/>
      <c r="F552" s="47">
        <v>96.37</v>
      </c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314">
        <f t="shared" si="29"/>
        <v>96.37</v>
      </c>
      <c r="R552" s="320" t="str">
        <f t="shared" si="31"/>
        <v>NO</v>
      </c>
      <c r="S552" s="316" t="str">
        <f t="shared" si="30"/>
        <v>Inviable Sanitariamente</v>
      </c>
    </row>
    <row r="553" spans="1:19" s="114" customFormat="1" ht="32.1" customHeight="1">
      <c r="A553" s="444" t="s">
        <v>219</v>
      </c>
      <c r="B553" s="480" t="s">
        <v>4434</v>
      </c>
      <c r="C553" s="545" t="s">
        <v>4435</v>
      </c>
      <c r="D553" s="346">
        <v>25</v>
      </c>
      <c r="E553" s="47"/>
      <c r="F553" s="47"/>
      <c r="G553" s="47"/>
      <c r="H553" s="47">
        <v>64</v>
      </c>
      <c r="I553" s="47"/>
      <c r="J553" s="47"/>
      <c r="K553" s="47"/>
      <c r="L553" s="47"/>
      <c r="M553" s="47"/>
      <c r="N553" s="47"/>
      <c r="O553" s="47"/>
      <c r="P553" s="47">
        <v>96.39</v>
      </c>
      <c r="Q553" s="428">
        <f t="shared" si="29"/>
        <v>80.194999999999993</v>
      </c>
      <c r="R553" s="470" t="str">
        <f t="shared" si="31"/>
        <v>NO</v>
      </c>
      <c r="S553" s="471" t="str">
        <f t="shared" si="30"/>
        <v>Inviable Sanitariamente</v>
      </c>
    </row>
    <row r="554" spans="1:19" s="114" customFormat="1" ht="32.1" customHeight="1">
      <c r="A554" s="444" t="s">
        <v>219</v>
      </c>
      <c r="B554" s="480" t="s">
        <v>4436</v>
      </c>
      <c r="C554" s="545" t="s">
        <v>4437</v>
      </c>
      <c r="D554" s="346">
        <v>16</v>
      </c>
      <c r="E554" s="47"/>
      <c r="F554" s="47"/>
      <c r="G554" s="47">
        <v>96.37</v>
      </c>
      <c r="H554" s="47"/>
      <c r="I554" s="47"/>
      <c r="J554" s="47"/>
      <c r="K554" s="47"/>
      <c r="L554" s="47"/>
      <c r="M554" s="47">
        <v>94.34</v>
      </c>
      <c r="N554" s="47"/>
      <c r="O554" s="47"/>
      <c r="P554" s="47"/>
      <c r="Q554" s="428">
        <f t="shared" si="29"/>
        <v>95.355000000000004</v>
      </c>
      <c r="R554" s="470" t="str">
        <f t="shared" si="31"/>
        <v>NO</v>
      </c>
      <c r="S554" s="471" t="str">
        <f t="shared" si="30"/>
        <v>Inviable Sanitariamente</v>
      </c>
    </row>
    <row r="555" spans="1:19" s="114" customFormat="1" ht="32.1" customHeight="1">
      <c r="A555" s="444" t="s">
        <v>219</v>
      </c>
      <c r="B555" s="480" t="s">
        <v>4438</v>
      </c>
      <c r="C555" s="545" t="s">
        <v>4439</v>
      </c>
      <c r="D555" s="346">
        <v>40</v>
      </c>
      <c r="E555" s="47"/>
      <c r="F555" s="47">
        <v>96.37</v>
      </c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28">
        <f t="shared" si="29"/>
        <v>96.37</v>
      </c>
      <c r="R555" s="470" t="str">
        <f t="shared" si="31"/>
        <v>NO</v>
      </c>
      <c r="S555" s="471" t="str">
        <f t="shared" si="30"/>
        <v>Inviable Sanitariamente</v>
      </c>
    </row>
    <row r="556" spans="1:19" s="114" customFormat="1" ht="32.1" customHeight="1">
      <c r="A556" s="444" t="s">
        <v>219</v>
      </c>
      <c r="B556" s="480" t="s">
        <v>4440</v>
      </c>
      <c r="C556" s="545" t="s">
        <v>4441</v>
      </c>
      <c r="D556" s="346">
        <v>50</v>
      </c>
      <c r="E556" s="47"/>
      <c r="F556" s="47"/>
      <c r="G556" s="47">
        <v>96.37</v>
      </c>
      <c r="H556" s="47"/>
      <c r="I556" s="47"/>
      <c r="J556" s="47"/>
      <c r="K556" s="47"/>
      <c r="L556" s="47"/>
      <c r="M556" s="47">
        <v>94.34</v>
      </c>
      <c r="N556" s="47"/>
      <c r="O556" s="47"/>
      <c r="P556" s="47"/>
      <c r="Q556" s="428">
        <f t="shared" si="29"/>
        <v>95.355000000000004</v>
      </c>
      <c r="R556" s="470" t="str">
        <f t="shared" si="31"/>
        <v>NO</v>
      </c>
      <c r="S556" s="471" t="str">
        <f t="shared" si="30"/>
        <v>Inviable Sanitariamente</v>
      </c>
    </row>
    <row r="557" spans="1:19" s="114" customFormat="1" ht="32.1" customHeight="1">
      <c r="A557" s="444" t="s">
        <v>219</v>
      </c>
      <c r="B557" s="480" t="s">
        <v>4442</v>
      </c>
      <c r="C557" s="545" t="s">
        <v>4443</v>
      </c>
      <c r="D557" s="346">
        <v>50</v>
      </c>
      <c r="E557" s="47"/>
      <c r="F557" s="47"/>
      <c r="G557" s="47">
        <v>96.37</v>
      </c>
      <c r="H557" s="47"/>
      <c r="I557" s="47"/>
      <c r="J557" s="47"/>
      <c r="K557" s="47"/>
      <c r="L557" s="47"/>
      <c r="M557" s="47"/>
      <c r="N557" s="47"/>
      <c r="O557" s="47"/>
      <c r="P557" s="47"/>
      <c r="Q557" s="428">
        <f t="shared" si="29"/>
        <v>96.37</v>
      </c>
      <c r="R557" s="470" t="str">
        <f t="shared" si="31"/>
        <v>NO</v>
      </c>
      <c r="S557" s="471" t="str">
        <f t="shared" si="30"/>
        <v>Inviable Sanitariamente</v>
      </c>
    </row>
    <row r="558" spans="1:19" s="114" customFormat="1" ht="32.1" customHeight="1">
      <c r="A558" s="444" t="s">
        <v>219</v>
      </c>
      <c r="B558" s="480" t="s">
        <v>4444</v>
      </c>
      <c r="C558" s="545" t="s">
        <v>4445</v>
      </c>
      <c r="D558" s="346">
        <v>31</v>
      </c>
      <c r="E558" s="47"/>
      <c r="F558" s="47"/>
      <c r="G558" s="47">
        <v>64</v>
      </c>
      <c r="H558" s="47"/>
      <c r="I558" s="47"/>
      <c r="J558" s="47"/>
      <c r="K558" s="47"/>
      <c r="L558" s="47"/>
      <c r="M558" s="47"/>
      <c r="N558" s="47"/>
      <c r="O558" s="47"/>
      <c r="P558" s="47">
        <v>96.39</v>
      </c>
      <c r="Q558" s="428">
        <f t="shared" si="29"/>
        <v>80.194999999999993</v>
      </c>
      <c r="R558" s="470" t="str">
        <f t="shared" si="31"/>
        <v>NO</v>
      </c>
      <c r="S558" s="471" t="str">
        <f t="shared" si="30"/>
        <v>Inviable Sanitariamente</v>
      </c>
    </row>
    <row r="559" spans="1:19" s="114" customFormat="1" ht="32.1" customHeight="1">
      <c r="A559" s="444" t="s">
        <v>219</v>
      </c>
      <c r="B559" s="480" t="s">
        <v>4446</v>
      </c>
      <c r="C559" s="545" t="s">
        <v>4447</v>
      </c>
      <c r="D559" s="346">
        <v>21</v>
      </c>
      <c r="E559" s="47"/>
      <c r="F559" s="47"/>
      <c r="G559" s="47">
        <v>64</v>
      </c>
      <c r="H559" s="47"/>
      <c r="I559" s="47"/>
      <c r="J559" s="47"/>
      <c r="K559" s="47"/>
      <c r="L559" s="47"/>
      <c r="M559" s="47"/>
      <c r="N559" s="47"/>
      <c r="O559" s="47"/>
      <c r="P559" s="47">
        <v>96.39</v>
      </c>
      <c r="Q559" s="428">
        <f>AVERAGE(E559:P559)</f>
        <v>80.194999999999993</v>
      </c>
      <c r="R559" s="470" t="str">
        <f t="shared" si="31"/>
        <v>NO</v>
      </c>
      <c r="S559" s="471" t="str">
        <f t="shared" si="30"/>
        <v>Inviable Sanitariamente</v>
      </c>
    </row>
    <row r="560" spans="1:19" ht="32.1" customHeight="1">
      <c r="A560" s="149"/>
      <c r="B560" s="114"/>
      <c r="C560" s="150"/>
      <c r="D560" s="149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32"/>
      <c r="R560" s="133"/>
      <c r="S560" s="134"/>
    </row>
    <row r="561" spans="1:19" ht="36.75" customHeight="1">
      <c r="A561" s="266" t="s">
        <v>3910</v>
      </c>
      <c r="B561" s="266" t="s">
        <v>3967</v>
      </c>
      <c r="C561" s="690"/>
      <c r="D561" s="691"/>
      <c r="E561" s="691"/>
      <c r="F561" s="691"/>
      <c r="G561" s="691"/>
      <c r="H561" s="691"/>
      <c r="I561" s="691"/>
      <c r="J561" s="691"/>
      <c r="K561" s="691"/>
      <c r="L561" s="691"/>
      <c r="M561" s="691"/>
      <c r="N561" s="691"/>
      <c r="O561" s="691"/>
      <c r="P561" s="691"/>
      <c r="Q561" s="691"/>
      <c r="R561" s="691"/>
      <c r="S561" s="691"/>
    </row>
    <row r="562" spans="1:19" ht="36.75" customHeight="1">
      <c r="A562" s="270" t="s">
        <v>3881</v>
      </c>
      <c r="B562" s="272">
        <f>COUNTIF(E12:P552,"&lt;=5")</f>
        <v>737</v>
      </c>
      <c r="C562" s="690"/>
      <c r="D562" s="691"/>
      <c r="E562" s="691"/>
      <c r="F562" s="691"/>
      <c r="G562" s="691"/>
      <c r="H562" s="691"/>
      <c r="I562" s="691"/>
      <c r="J562" s="691"/>
      <c r="K562" s="691"/>
      <c r="L562" s="691"/>
      <c r="M562" s="691"/>
      <c r="N562" s="691"/>
      <c r="O562" s="691"/>
      <c r="P562" s="691"/>
      <c r="Q562" s="691"/>
      <c r="R562" s="691"/>
      <c r="S562" s="691"/>
    </row>
    <row r="563" spans="1:19" ht="36.75" customHeight="1">
      <c r="A563" s="257" t="s">
        <v>3882</v>
      </c>
      <c r="B563" s="269">
        <f>COUNTIFS(E12:P552,"&gt;5",E12:P552,"&lt;=14")</f>
        <v>31</v>
      </c>
      <c r="C563" s="493"/>
      <c r="D563" s="494"/>
      <c r="E563" s="495"/>
      <c r="F563" s="495"/>
      <c r="G563" s="495"/>
      <c r="H563" s="495"/>
      <c r="I563" s="495"/>
      <c r="J563" s="495"/>
      <c r="K563" s="495"/>
      <c r="L563" s="495"/>
      <c r="M563" s="495"/>
      <c r="N563" s="495"/>
      <c r="O563" s="495"/>
      <c r="P563" s="495"/>
      <c r="Q563" s="496"/>
      <c r="R563" s="497"/>
      <c r="S563" s="497"/>
    </row>
    <row r="564" spans="1:19" ht="36.75" customHeight="1">
      <c r="A564" s="258" t="s">
        <v>3883</v>
      </c>
      <c r="B564" s="264">
        <f>COUNTIFS(E12:P552,"&gt;14",E12:P552,"&lt;=35")</f>
        <v>138</v>
      </c>
      <c r="C564" s="495"/>
      <c r="D564" s="494"/>
      <c r="E564" s="495"/>
      <c r="F564" s="495"/>
      <c r="G564" s="495"/>
      <c r="H564" s="495"/>
      <c r="I564" s="495"/>
      <c r="J564" s="495"/>
      <c r="K564" s="495"/>
      <c r="L564" s="495"/>
      <c r="M564" s="495"/>
      <c r="N564" s="495"/>
      <c r="O564" s="495"/>
      <c r="P564" s="495"/>
      <c r="Q564" s="496"/>
      <c r="R564" s="497"/>
      <c r="S564" s="497"/>
    </row>
    <row r="565" spans="1:19" ht="36.75" customHeight="1">
      <c r="A565" s="259" t="s">
        <v>3884</v>
      </c>
      <c r="B565" s="264">
        <f>COUNTIFS(E12:P552,"&gt;35",E12:P552,"&lt;=80")</f>
        <v>135</v>
      </c>
      <c r="C565" s="503"/>
      <c r="D565" s="491"/>
      <c r="E565" s="492"/>
      <c r="F565" s="492"/>
      <c r="G565" s="492"/>
      <c r="H565" s="492"/>
      <c r="I565" s="492"/>
      <c r="J565" s="492"/>
      <c r="K565" s="492"/>
      <c r="L565" s="492"/>
      <c r="M565" s="492"/>
      <c r="N565" s="492"/>
      <c r="O565" s="492"/>
      <c r="P565" s="492"/>
      <c r="Q565" s="132"/>
      <c r="R565" s="133"/>
      <c r="S565" s="134"/>
    </row>
    <row r="566" spans="1:19" ht="36.75" customHeight="1">
      <c r="A566" s="260" t="s">
        <v>3885</v>
      </c>
      <c r="B566" s="264">
        <f>COUNTIFS(E12:P552,"&gt;80",E12:P552,"&lt;=100")</f>
        <v>218</v>
      </c>
      <c r="C566" s="150"/>
      <c r="D566" s="149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32"/>
      <c r="R566" s="133"/>
      <c r="S566" s="134"/>
    </row>
    <row r="567" spans="1:19" ht="36.75" customHeight="1">
      <c r="A567" s="279" t="s">
        <v>3886</v>
      </c>
      <c r="B567" s="280">
        <f>COUNT(E12:P552)</f>
        <v>1259</v>
      </c>
      <c r="C567" s="150"/>
      <c r="D567" s="149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32"/>
      <c r="R567" s="133"/>
      <c r="S567" s="134"/>
    </row>
    <row r="568" spans="1:19" ht="36.75" customHeight="1">
      <c r="A568" s="263" t="s">
        <v>3888</v>
      </c>
      <c r="B568" s="265">
        <f>B567-B562</f>
        <v>522</v>
      </c>
      <c r="C568" s="150"/>
      <c r="D568" s="149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32"/>
      <c r="R568" s="133"/>
      <c r="S568" s="134"/>
    </row>
    <row r="569" spans="1:19" ht="32.1" customHeight="1">
      <c r="A569" s="149"/>
      <c r="B569" s="114"/>
      <c r="C569" s="150"/>
      <c r="D569" s="149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32"/>
      <c r="R569" s="133"/>
      <c r="S569" s="134"/>
    </row>
    <row r="570" spans="1:19" ht="32.1" customHeight="1">
      <c r="A570" s="149"/>
      <c r="B570" s="114"/>
      <c r="C570" s="150"/>
      <c r="D570" s="149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32"/>
      <c r="R570" s="133"/>
      <c r="S570" s="134"/>
    </row>
    <row r="571" spans="1:19" ht="32.1" customHeight="1">
      <c r="A571" s="149"/>
      <c r="B571" s="114"/>
      <c r="C571" s="150"/>
      <c r="D571" s="149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32"/>
      <c r="R571" s="133"/>
      <c r="S571" s="134"/>
    </row>
    <row r="572" spans="1:19" ht="32.1" customHeight="1">
      <c r="A572" s="149"/>
      <c r="B572" s="114"/>
      <c r="C572" s="150"/>
      <c r="D572" s="149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32"/>
      <c r="R572" s="133"/>
      <c r="S572" s="134"/>
    </row>
    <row r="573" spans="1:19" ht="32.1" customHeight="1">
      <c r="A573" s="149"/>
      <c r="B573" s="114"/>
      <c r="C573" s="150"/>
      <c r="D573" s="149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32"/>
      <c r="R573" s="133"/>
      <c r="S573" s="134"/>
    </row>
    <row r="574" spans="1:19" ht="32.1" customHeight="1">
      <c r="A574" s="149"/>
      <c r="B574" s="114"/>
      <c r="C574" s="150"/>
      <c r="D574" s="149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32"/>
      <c r="R574" s="133"/>
      <c r="S574" s="134"/>
    </row>
    <row r="575" spans="1:19" ht="32.1" customHeight="1">
      <c r="A575" s="149"/>
      <c r="B575" s="114"/>
      <c r="C575" s="150"/>
      <c r="D575" s="149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32"/>
      <c r="R575" s="133"/>
      <c r="S575" s="134"/>
    </row>
    <row r="576" spans="1:19" ht="32.1" customHeight="1">
      <c r="A576" s="149"/>
      <c r="B576" s="114"/>
      <c r="C576" s="150"/>
      <c r="D576" s="149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32"/>
      <c r="R576" s="133"/>
      <c r="S576" s="134"/>
    </row>
    <row r="577" spans="1:19" ht="32.1" customHeight="1">
      <c r="A577" s="149"/>
      <c r="B577" s="114"/>
      <c r="C577" s="150"/>
      <c r="D577" s="149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32"/>
      <c r="R577" s="133"/>
      <c r="S577" s="134"/>
    </row>
    <row r="578" spans="1:19" ht="32.1" customHeight="1">
      <c r="A578" s="149"/>
      <c r="B578" s="114"/>
      <c r="C578" s="150"/>
      <c r="D578" s="149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32"/>
      <c r="R578" s="133"/>
      <c r="S578" s="134"/>
    </row>
    <row r="579" spans="1:19" ht="32.1" customHeight="1">
      <c r="A579" s="149"/>
      <c r="B579" s="114"/>
      <c r="C579" s="150"/>
      <c r="D579" s="149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32"/>
      <c r="R579" s="133"/>
      <c r="S579" s="134"/>
    </row>
    <row r="580" spans="1:19" ht="32.1" customHeight="1">
      <c r="A580" s="149"/>
      <c r="B580" s="114"/>
      <c r="C580" s="150"/>
      <c r="D580" s="149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32"/>
      <c r="R580" s="133"/>
      <c r="S580" s="134"/>
    </row>
    <row r="581" spans="1:19" ht="32.1" customHeight="1">
      <c r="A581" s="149"/>
      <c r="B581" s="114"/>
      <c r="C581" s="150"/>
      <c r="D581" s="149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32"/>
      <c r="R581" s="133"/>
      <c r="S581" s="134"/>
    </row>
    <row r="582" spans="1:19" ht="32.1" customHeight="1">
      <c r="A582" s="149"/>
      <c r="B582" s="114"/>
      <c r="C582" s="150"/>
      <c r="D582" s="149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32"/>
      <c r="R582" s="133"/>
      <c r="S582" s="134"/>
    </row>
    <row r="583" spans="1:19" ht="32.1" customHeight="1">
      <c r="A583" s="149"/>
      <c r="B583" s="114"/>
      <c r="C583" s="150"/>
      <c r="D583" s="149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32"/>
      <c r="R583" s="133"/>
      <c r="S583" s="134"/>
    </row>
    <row r="584" spans="1:19" ht="32.1" customHeight="1">
      <c r="A584" s="149"/>
      <c r="B584" s="114"/>
      <c r="C584" s="150"/>
      <c r="D584" s="149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32"/>
      <c r="R584" s="133"/>
      <c r="S584" s="134"/>
    </row>
    <row r="585" spans="1:19" ht="32.1" customHeight="1">
      <c r="A585" s="108"/>
      <c r="B585" s="150"/>
      <c r="C585" s="150"/>
      <c r="D585" s="151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32"/>
      <c r="R585" s="133"/>
      <c r="S585" s="134"/>
    </row>
    <row r="586" spans="1:19" ht="32.1" customHeight="1">
      <c r="A586" s="108"/>
      <c r="B586" s="150"/>
      <c r="C586" s="150"/>
      <c r="D586" s="151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1:19" ht="32.1" customHeight="1">
      <c r="A587" s="108"/>
      <c r="B587" s="150"/>
      <c r="C587" s="150"/>
      <c r="D587" s="151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1:19" ht="32.1" customHeight="1">
      <c r="A588" s="108"/>
      <c r="B588" s="150"/>
      <c r="C588" s="150"/>
      <c r="D588" s="151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1:19" ht="32.1" customHeight="1">
      <c r="A589" s="108"/>
      <c r="B589" s="150"/>
      <c r="C589" s="150"/>
      <c r="D589" s="151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1:19" ht="32.1" customHeight="1"/>
    <row r="591" spans="1:19" ht="32.1" customHeight="1"/>
    <row r="592" spans="1:19" ht="32.1" customHeight="1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</sheetData>
  <autoFilter ref="A11:W552" xr:uid="{00000000-0009-0000-0000-000008000000}">
    <sortState ref="A13:W552">
      <sortCondition ref="A11:A574"/>
    </sortState>
  </autoFilter>
  <customSheetViews>
    <customSheetView guid="{75DD7674-E7DE-4BB1-A36D-76AA33452CB3}" scale="60" showAutoFilter="1" hiddenRows="1" hiddenColumns="1">
      <pane xSplit="3" ySplit="11" topLeftCell="D13" activePane="bottomRight" state="frozenSplit"/>
      <selection pane="bottomRight" activeCell="I3" sqref="I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1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  <autoFilter ref="A11:W548" xr:uid="{00000000-0000-0000-0000-000000000000}">
        <sortState ref="A13:W548">
          <sortCondition ref="A11:A570"/>
        </sortState>
      </autoFilter>
    </customSheetView>
    <customSheetView guid="{AEDE1BDB-8710-4CDA-8488-31F49D423ACE}" scale="60" hiddenRows="1">
      <pane xSplit="3" ySplit="11" topLeftCell="D537" activePane="bottomRight" state="frozenSplit"/>
      <selection pane="bottomRight" activeCell="D553" sqref="D553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2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FCC3B493-4306-43B2-9C73-76324485DD47}" scale="60" hiddenRows="1" hiddenColumns="1">
      <pane xSplit="3" ySplit="11" topLeftCell="D407" activePane="bottomRight" state="frozenSplit"/>
      <selection pane="bottomRight" activeCell="I421" sqref="I421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3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  <customSheetView guid="{45C8AF51-29EC-46A5-AB7F-1F0634E55D82}" scale="60" hiddenRows="1" hiddenColumns="1">
      <pane xSplit="2.484076433121019" ySplit="11" topLeftCell="D14" activePane="bottomRight" state="frozenSplit"/>
      <selection pane="bottomRight" activeCell="S14" sqref="S14"/>
      <pageMargins left="0.28999999999999998" right="0.2" top="0.6692913385826772" bottom="0.9055118110236221" header="0.43" footer="0.59055118110236227"/>
      <printOptions horizontalCentered="1"/>
      <pageSetup paperSize="14" scale="75" orientation="landscape" r:id="rId4"/>
      <headerFooter alignWithMargins="0">
        <oddHeader xml:space="preserve">&amp;L
&amp;C&amp;"Arial,Negrita"&amp;12
&amp;R
&amp;"Arial,Negrita"&amp;12
</oddHeader>
        <oddFooter>&amp;L                                       NA: APLICA.     INDICE DE RIESGO DE CALIDAD DEL  AGUA- IRCA- APTA PARA EL CONSUMO HUMANO. 0 - 5 % % SE CONSIDERA NO APTA PARA EL CONSUMO: 5.1 - 100 %&amp;R
&amp;P</oddFooter>
      </headerFooter>
    </customSheetView>
  </customSheetViews>
  <mergeCells count="21">
    <mergeCell ref="A8:B8"/>
    <mergeCell ref="A10:A11"/>
    <mergeCell ref="B10:B11"/>
    <mergeCell ref="C10:C11"/>
    <mergeCell ref="A7:B7"/>
    <mergeCell ref="Q10:Q11"/>
    <mergeCell ref="D10:D11"/>
    <mergeCell ref="C561:S562"/>
    <mergeCell ref="S10:S11"/>
    <mergeCell ref="E10:P10"/>
    <mergeCell ref="R10:R11"/>
    <mergeCell ref="B1:D1"/>
    <mergeCell ref="B2:D2"/>
    <mergeCell ref="B3:D3"/>
    <mergeCell ref="E5:G6"/>
    <mergeCell ref="B5:C6"/>
    <mergeCell ref="H5:J6"/>
    <mergeCell ref="K5:M6"/>
    <mergeCell ref="N5:P6"/>
    <mergeCell ref="Q5:R6"/>
    <mergeCell ref="S5:S6"/>
  </mergeCells>
  <conditionalFormatting sqref="R131:R142 R203:R231 R148:R152 R234:R265 R154:R201 R349:R406 R13:R59 R270:R276 R278:R331 R334:R347">
    <cfRule type="cellIs" dxfId="3464" priority="6470" stopIfTrue="1" operator="equal">
      <formula>"NO"</formula>
    </cfRule>
  </conditionalFormatting>
  <conditionalFormatting sqref="S131:S142 S148:S152 S535:S552 S427:S435 S437:S487 S203:S265 S489:S532 S154:S201 S349:S424 S13:S65 S270:S331 S334:S347">
    <cfRule type="cellIs" dxfId="3463" priority="6471" stopIfTrue="1" operator="equal">
      <formula>"INVIABLE SANITARIAMENTE"</formula>
    </cfRule>
  </conditionalFormatting>
  <conditionalFormatting sqref="E197:P201 E208:P212 E281:P285 E288:P289 E290:H290 J290:P290 E219:P232 E319:P323">
    <cfRule type="containsBlanks" dxfId="3462" priority="6463" stopIfTrue="1">
      <formula>LEN(TRIM(E197))=0</formula>
    </cfRule>
    <cfRule type="cellIs" dxfId="3461" priority="6464" stopIfTrue="1" operator="between">
      <formula>79.1</formula>
      <formula>100</formula>
    </cfRule>
    <cfRule type="cellIs" dxfId="3460" priority="6465" stopIfTrue="1" operator="between">
      <formula>34.1</formula>
      <formula>79</formula>
    </cfRule>
    <cfRule type="cellIs" dxfId="3459" priority="6466" stopIfTrue="1" operator="between">
      <formula>13.1</formula>
      <formula>34</formula>
    </cfRule>
    <cfRule type="cellIs" dxfId="3458" priority="6467" stopIfTrue="1" operator="between">
      <formula>5.1</formula>
      <formula>13</formula>
    </cfRule>
    <cfRule type="cellIs" dxfId="3457" priority="6468" stopIfTrue="1" operator="between">
      <formula>0</formula>
      <formula>5</formula>
    </cfRule>
    <cfRule type="containsBlanks" dxfId="3456" priority="6469" stopIfTrue="1">
      <formula>LEN(TRIM(E197))=0</formula>
    </cfRule>
  </conditionalFormatting>
  <conditionalFormatting sqref="F273:P273 E274:P275 E301:P301 E278:Q278 E234:Q237 Q148:Q152 E547:Q547 Q69:Q88 Q107 Q109:Q142 Q418:Q424 Q427:Q435 E442:Q447 Q203:Q265 E334:Q334 Q90:Q105 Q154:Q201 E330:P330 E336:Q336 Q335 Q337:Q346 E369:Q370 Q349:Q368 E375:Q378 P371:Q374 E383:Q397 Q379:Q382 Q398:Q406 Q437:Q441 E455:Q463 Q454 E453:Q453 Q451:Q452 E449:Q450 Q448 E482:Q483 Q464:Q481 E487:Q487 Q484:Q486 E497:Q499 Q489:Q493 Q495:Q496 E507:Q507 E509:Q509 Q508 Q500:Q506 E511:Q511 Q510 E516:Q516 Q512:Q515 E524:Q524 Q517:Q523 E526:Q527 Q525 Q529:Q532 Q535:Q546 Q548:Q552 E12:J27 Q13:Q65 K12:P59 E29:J59 E304:P306 E325:Q328 Q270:Q331 E347:Q347">
    <cfRule type="containsBlanks" dxfId="3455" priority="6456" stopIfTrue="1">
      <formula>LEN(TRIM(E12))=0</formula>
    </cfRule>
    <cfRule type="cellIs" dxfId="3454" priority="6457" stopIfTrue="1" operator="between">
      <formula>80.1</formula>
      <formula>100</formula>
    </cfRule>
    <cfRule type="cellIs" dxfId="3453" priority="6458" stopIfTrue="1" operator="between">
      <formula>35.1</formula>
      <formula>80</formula>
    </cfRule>
    <cfRule type="cellIs" dxfId="3452" priority="6459" stopIfTrue="1" operator="between">
      <formula>14.1</formula>
      <formula>35</formula>
    </cfRule>
    <cfRule type="cellIs" dxfId="3451" priority="6460" stopIfTrue="1" operator="between">
      <formula>5.1</formula>
      <formula>14</formula>
    </cfRule>
    <cfRule type="cellIs" dxfId="3450" priority="6461" stopIfTrue="1" operator="between">
      <formula>0</formula>
      <formula>5</formula>
    </cfRule>
    <cfRule type="containsBlanks" dxfId="3449" priority="6462" stopIfTrue="1">
      <formula>LEN(TRIM(E12))=0</formula>
    </cfRule>
  </conditionalFormatting>
  <conditionalFormatting sqref="S131:S142 S148:S152 S535:S552 S427:S435 S437:S487 S203:S265 S489:S532 S154:S201 S349:S424 S270:S331 S334:S347">
    <cfRule type="containsText" dxfId="3448" priority="6451" stopIfTrue="1" operator="containsText" text="INVIABLE SANITARIAMENTE">
      <formula>NOT(ISERROR(SEARCH("INVIABLE SANITARIAMENTE",S131)))</formula>
    </cfRule>
    <cfRule type="containsText" dxfId="3447" priority="6452" stopIfTrue="1" operator="containsText" text="ALTO">
      <formula>NOT(ISERROR(SEARCH("ALTO",S131)))</formula>
    </cfRule>
    <cfRule type="containsText" dxfId="3446" priority="6453" stopIfTrue="1" operator="containsText" text="MEDIO">
      <formula>NOT(ISERROR(SEARCH("MEDIO",S131)))</formula>
    </cfRule>
    <cfRule type="containsText" dxfId="3445" priority="6454" stopIfTrue="1" operator="containsText" text="BAJO">
      <formula>NOT(ISERROR(SEARCH("BAJO",S131)))</formula>
    </cfRule>
    <cfRule type="containsText" dxfId="3444" priority="6455" stopIfTrue="1" operator="containsText" text="SIN RIESGO">
      <formula>NOT(ISERROR(SEARCH("SIN RIESGO",S131)))</formula>
    </cfRule>
  </conditionalFormatting>
  <conditionalFormatting sqref="S131:S142 S148:S152 S535:S552 S427:S435 S437:S487 S203:S265 S489:S532 S154:S201 S349:S424 S13:S65 S270:S331 S334:S347">
    <cfRule type="containsText" dxfId="3443" priority="6450" stopIfTrue="1" operator="containsText" text="SIN RIESGO">
      <formula>NOT(ISERROR(SEARCH("SIN RIESGO",S13)))</formula>
    </cfRule>
  </conditionalFormatting>
  <conditionalFormatting sqref="E375:J376">
    <cfRule type="containsBlanks" dxfId="3442" priority="6394" stopIfTrue="1">
      <formula>LEN(TRIM(E375))=0</formula>
    </cfRule>
    <cfRule type="cellIs" dxfId="3441" priority="6395" stopIfTrue="1" operator="between">
      <formula>79.1</formula>
      <formula>100</formula>
    </cfRule>
    <cfRule type="cellIs" dxfId="3440" priority="6396" stopIfTrue="1" operator="between">
      <formula>34.1</formula>
      <formula>79</formula>
    </cfRule>
    <cfRule type="cellIs" dxfId="3439" priority="6397" stopIfTrue="1" operator="between">
      <formula>13.1</formula>
      <formula>34</formula>
    </cfRule>
    <cfRule type="cellIs" dxfId="3438" priority="6398" stopIfTrue="1" operator="between">
      <formula>5.1</formula>
      <formula>13</formula>
    </cfRule>
    <cfRule type="cellIs" dxfId="3437" priority="6399" stopIfTrue="1" operator="between">
      <formula>0</formula>
      <formula>5</formula>
    </cfRule>
    <cfRule type="containsBlanks" dxfId="3436" priority="6400" stopIfTrue="1">
      <formula>LEN(TRIM(E375))=0</formula>
    </cfRule>
  </conditionalFormatting>
  <conditionalFormatting sqref="R139">
    <cfRule type="cellIs" dxfId="3435" priority="6218" stopIfTrue="1" operator="equal">
      <formula>"NO"</formula>
    </cfRule>
  </conditionalFormatting>
  <conditionalFormatting sqref="R134">
    <cfRule type="cellIs" dxfId="3434" priority="6203" stopIfTrue="1" operator="equal">
      <formula>"NO"</formula>
    </cfRule>
  </conditionalFormatting>
  <conditionalFormatting sqref="R135">
    <cfRule type="cellIs" dxfId="3433" priority="6188" stopIfTrue="1" operator="equal">
      <formula>"NO"</formula>
    </cfRule>
  </conditionalFormatting>
  <conditionalFormatting sqref="R136">
    <cfRule type="cellIs" dxfId="3432" priority="6173" stopIfTrue="1" operator="equal">
      <formula>"NO"</formula>
    </cfRule>
  </conditionalFormatting>
  <conditionalFormatting sqref="R137">
    <cfRule type="cellIs" dxfId="3431" priority="6158" stopIfTrue="1" operator="equal">
      <formula>"NO"</formula>
    </cfRule>
  </conditionalFormatting>
  <conditionalFormatting sqref="E189:Q189">
    <cfRule type="containsBlanks" dxfId="3430" priority="5284" stopIfTrue="1">
      <formula>LEN(TRIM(E189))=0</formula>
    </cfRule>
    <cfRule type="cellIs" dxfId="3429" priority="5285" stopIfTrue="1" operator="between">
      <formula>80.1</formula>
      <formula>100</formula>
    </cfRule>
    <cfRule type="cellIs" dxfId="3428" priority="5286" stopIfTrue="1" operator="between">
      <formula>35.1</formula>
      <formula>80</formula>
    </cfRule>
    <cfRule type="cellIs" dxfId="3427" priority="5287" stopIfTrue="1" operator="between">
      <formula>14.1</formula>
      <formula>35</formula>
    </cfRule>
    <cfRule type="cellIs" dxfId="3426" priority="5288" stopIfTrue="1" operator="between">
      <formula>5.1</formula>
      <formula>14</formula>
    </cfRule>
    <cfRule type="cellIs" dxfId="3425" priority="5289" stopIfTrue="1" operator="between">
      <formula>0</formula>
      <formula>5</formula>
    </cfRule>
    <cfRule type="containsBlanks" dxfId="3424" priority="5290" stopIfTrue="1">
      <formula>LEN(TRIM(E189))=0</formula>
    </cfRule>
  </conditionalFormatting>
  <conditionalFormatting sqref="E190:Q190">
    <cfRule type="containsBlanks" dxfId="3423" priority="5277" stopIfTrue="1">
      <formula>LEN(TRIM(E190))=0</formula>
    </cfRule>
    <cfRule type="cellIs" dxfId="3422" priority="5278" stopIfTrue="1" operator="between">
      <formula>80.1</formula>
      <formula>100</formula>
    </cfRule>
    <cfRule type="cellIs" dxfId="3421" priority="5279" stopIfTrue="1" operator="between">
      <formula>35.1</formula>
      <formula>80</formula>
    </cfRule>
    <cfRule type="cellIs" dxfId="3420" priority="5280" stopIfTrue="1" operator="between">
      <formula>14.1</formula>
      <formula>35</formula>
    </cfRule>
    <cfRule type="cellIs" dxfId="3419" priority="5281" stopIfTrue="1" operator="between">
      <formula>5.1</formula>
      <formula>14</formula>
    </cfRule>
    <cfRule type="cellIs" dxfId="3418" priority="5282" stopIfTrue="1" operator="between">
      <formula>0</formula>
      <formula>5</formula>
    </cfRule>
    <cfRule type="containsBlanks" dxfId="3417" priority="5283" stopIfTrue="1">
      <formula>LEN(TRIM(E190))=0</formula>
    </cfRule>
  </conditionalFormatting>
  <conditionalFormatting sqref="R138">
    <cfRule type="cellIs" dxfId="3416" priority="6143" stopIfTrue="1" operator="equal">
      <formula>"NO"</formula>
    </cfRule>
  </conditionalFormatting>
  <conditionalFormatting sqref="E233:P233">
    <cfRule type="containsBlanks" dxfId="3415" priority="5910" stopIfTrue="1">
      <formula>LEN(TRIM(E233))=0</formula>
    </cfRule>
    <cfRule type="cellIs" dxfId="3414" priority="5911" stopIfTrue="1" operator="between">
      <formula>79.1</formula>
      <formula>100</formula>
    </cfRule>
    <cfRule type="cellIs" dxfId="3413" priority="5912" stopIfTrue="1" operator="between">
      <formula>34.1</formula>
      <formula>79</formula>
    </cfRule>
    <cfRule type="cellIs" dxfId="3412" priority="5913" stopIfTrue="1" operator="between">
      <formula>13.1</formula>
      <formula>34</formula>
    </cfRule>
    <cfRule type="cellIs" dxfId="3411" priority="5914" stopIfTrue="1" operator="between">
      <formula>5.1</formula>
      <formula>13</formula>
    </cfRule>
    <cfRule type="cellIs" dxfId="3410" priority="5915" stopIfTrue="1" operator="between">
      <formula>0</formula>
      <formula>5</formula>
    </cfRule>
    <cfRule type="containsBlanks" dxfId="3409" priority="5916" stopIfTrue="1">
      <formula>LEN(TRIM(E233))=0</formula>
    </cfRule>
  </conditionalFormatting>
  <conditionalFormatting sqref="E233:G233">
    <cfRule type="containsBlanks" dxfId="3408" priority="5903" stopIfTrue="1">
      <formula>LEN(TRIM(E233))=0</formula>
    </cfRule>
    <cfRule type="cellIs" dxfId="3407" priority="5904" stopIfTrue="1" operator="between">
      <formula>79.1</formula>
      <formula>100</formula>
    </cfRule>
    <cfRule type="cellIs" dxfId="3406" priority="5905" stopIfTrue="1" operator="between">
      <formula>34.1</formula>
      <formula>79</formula>
    </cfRule>
    <cfRule type="cellIs" dxfId="3405" priority="5906" stopIfTrue="1" operator="between">
      <formula>13.1</formula>
      <formula>34</formula>
    </cfRule>
    <cfRule type="cellIs" dxfId="3404" priority="5907" stopIfTrue="1" operator="between">
      <formula>5.1</formula>
      <formula>13</formula>
    </cfRule>
    <cfRule type="cellIs" dxfId="3403" priority="5908" stopIfTrue="1" operator="between">
      <formula>0</formula>
      <formula>5</formula>
    </cfRule>
    <cfRule type="containsBlanks" dxfId="3402" priority="5909" stopIfTrue="1">
      <formula>LEN(TRIM(E233))=0</formula>
    </cfRule>
  </conditionalFormatting>
  <conditionalFormatting sqref="E187:P187 E205:P205">
    <cfRule type="containsBlanks" dxfId="3401" priority="5917" stopIfTrue="1">
      <formula>LEN(TRIM(E187))=0</formula>
    </cfRule>
    <cfRule type="cellIs" dxfId="3400" priority="5918" stopIfTrue="1" operator="between">
      <formula>79.1</formula>
      <formula>100</formula>
    </cfRule>
    <cfRule type="cellIs" dxfId="3399" priority="5919" stopIfTrue="1" operator="between">
      <formula>34.1</formula>
      <formula>79</formula>
    </cfRule>
    <cfRule type="cellIs" dxfId="3398" priority="5920" stopIfTrue="1" operator="between">
      <formula>13.1</formula>
      <formula>34</formula>
    </cfRule>
    <cfRule type="cellIs" dxfId="3397" priority="5921" stopIfTrue="1" operator="between">
      <formula>5.1</formula>
      <formula>13</formula>
    </cfRule>
    <cfRule type="cellIs" dxfId="3396" priority="5922" stopIfTrue="1" operator="between">
      <formula>0</formula>
      <formula>5</formula>
    </cfRule>
    <cfRule type="containsBlanks" dxfId="3395" priority="5923" stopIfTrue="1">
      <formula>LEN(TRIM(E187))=0</formula>
    </cfRule>
  </conditionalFormatting>
  <conditionalFormatting sqref="E293 G293:P293 E286:P287 E294:P295 E291:P292">
    <cfRule type="containsBlanks" dxfId="3394" priority="5882" stopIfTrue="1">
      <formula>LEN(TRIM(E286))=0</formula>
    </cfRule>
    <cfRule type="cellIs" dxfId="3393" priority="5883" stopIfTrue="1" operator="between">
      <formula>79.1</formula>
      <formula>100</formula>
    </cfRule>
    <cfRule type="cellIs" dxfId="3392" priority="5884" stopIfTrue="1" operator="between">
      <formula>34.1</formula>
      <formula>79</formula>
    </cfRule>
    <cfRule type="cellIs" dxfId="3391" priority="5885" stopIfTrue="1" operator="between">
      <formula>13.1</formula>
      <formula>34</formula>
    </cfRule>
    <cfRule type="cellIs" dxfId="3390" priority="5886" stopIfTrue="1" operator="between">
      <formula>5.1</formula>
      <formula>13</formula>
    </cfRule>
    <cfRule type="cellIs" dxfId="3389" priority="5887" stopIfTrue="1" operator="between">
      <formula>0</formula>
      <formula>5</formula>
    </cfRule>
    <cfRule type="containsBlanks" dxfId="3388" priority="5888" stopIfTrue="1">
      <formula>LEN(TRIM(E286))=0</formula>
    </cfRule>
  </conditionalFormatting>
  <conditionalFormatting sqref="K375:P376">
    <cfRule type="containsBlanks" dxfId="3387" priority="5805" stopIfTrue="1">
      <formula>LEN(TRIM(K375))=0</formula>
    </cfRule>
    <cfRule type="cellIs" dxfId="3386" priority="5806" stopIfTrue="1" operator="between">
      <formula>79.1</formula>
      <formula>100</formula>
    </cfRule>
    <cfRule type="cellIs" dxfId="3385" priority="5807" stopIfTrue="1" operator="between">
      <formula>34.1</formula>
      <formula>79</formula>
    </cfRule>
    <cfRule type="cellIs" dxfId="3384" priority="5808" stopIfTrue="1" operator="between">
      <formula>13.1</formula>
      <formula>34</formula>
    </cfRule>
    <cfRule type="cellIs" dxfId="3383" priority="5809" stopIfTrue="1" operator="between">
      <formula>5.1</formula>
      <formula>13</formula>
    </cfRule>
    <cfRule type="cellIs" dxfId="3382" priority="5810" stopIfTrue="1" operator="between">
      <formula>0</formula>
      <formula>5</formula>
    </cfRule>
    <cfRule type="containsBlanks" dxfId="3381" priority="5811" stopIfTrue="1">
      <formula>LEN(TRIM(K375))=0</formula>
    </cfRule>
  </conditionalFormatting>
  <conditionalFormatting sqref="Q205 Q241 Q250:Q251 Q255 Q273:Q275 Q301 Q375:Q376 Q367:Q368">
    <cfRule type="containsBlanks" dxfId="3380" priority="5790" stopIfTrue="1">
      <formula>LEN(TRIM(Q205))=0</formula>
    </cfRule>
    <cfRule type="cellIs" dxfId="3379" priority="5791" stopIfTrue="1" operator="between">
      <formula>80.1</formula>
      <formula>100</formula>
    </cfRule>
    <cfRule type="cellIs" dxfId="3378" priority="5792" stopIfTrue="1" operator="between">
      <formula>35.1</formula>
      <formula>80</formula>
    </cfRule>
    <cfRule type="cellIs" dxfId="3377" priority="5793" stopIfTrue="1" operator="between">
      <formula>14.1</formula>
      <formula>35</formula>
    </cfRule>
    <cfRule type="cellIs" dxfId="3376" priority="5794" stopIfTrue="1" operator="between">
      <formula>5.1</formula>
      <formula>14</formula>
    </cfRule>
    <cfRule type="cellIs" dxfId="3375" priority="5795" stopIfTrue="1" operator="between">
      <formula>0</formula>
      <formula>5</formula>
    </cfRule>
    <cfRule type="containsBlanks" dxfId="3374" priority="5796" stopIfTrue="1">
      <formula>LEN(TRIM(Q205))=0</formula>
    </cfRule>
  </conditionalFormatting>
  <conditionalFormatting sqref="Q205 Q241 Q250:Q251 Q255 Q273:Q275 Q301 Q375:Q376 Q367:Q368">
    <cfRule type="containsBlanks" dxfId="3373" priority="5783" stopIfTrue="1">
      <formula>LEN(TRIM(Q205))=0</formula>
    </cfRule>
    <cfRule type="cellIs" dxfId="3372" priority="5784" stopIfTrue="1" operator="between">
      <formula>80.1</formula>
      <formula>100</formula>
    </cfRule>
    <cfRule type="cellIs" dxfId="3371" priority="5785" stopIfTrue="1" operator="between">
      <formula>35.1</formula>
      <formula>80</formula>
    </cfRule>
    <cfRule type="cellIs" dxfId="3370" priority="5786" stopIfTrue="1" operator="between">
      <formula>14.1</formula>
      <formula>35</formula>
    </cfRule>
    <cfRule type="cellIs" dxfId="3369" priority="5787" stopIfTrue="1" operator="between">
      <formula>5.1</formula>
      <formula>14</formula>
    </cfRule>
    <cfRule type="cellIs" dxfId="3368" priority="5788" stopIfTrue="1" operator="between">
      <formula>0</formula>
      <formula>5</formula>
    </cfRule>
    <cfRule type="containsBlanks" dxfId="3367" priority="5789" stopIfTrue="1">
      <formula>LEN(TRIM(Q205))=0</formula>
    </cfRule>
  </conditionalFormatting>
  <conditionalFormatting sqref="Q187">
    <cfRule type="containsBlanks" dxfId="3366" priority="5776" stopIfTrue="1">
      <formula>LEN(TRIM(Q187))=0</formula>
    </cfRule>
    <cfRule type="cellIs" dxfId="3365" priority="5777" stopIfTrue="1" operator="between">
      <formula>80.1</formula>
      <formula>100</formula>
    </cfRule>
    <cfRule type="cellIs" dxfId="3364" priority="5778" stopIfTrue="1" operator="between">
      <formula>35.1</formula>
      <formula>80</formula>
    </cfRule>
    <cfRule type="cellIs" dxfId="3363" priority="5779" stopIfTrue="1" operator="between">
      <formula>14.1</formula>
      <formula>35</formula>
    </cfRule>
    <cfRule type="cellIs" dxfId="3362" priority="5780" stopIfTrue="1" operator="between">
      <formula>5.1</formula>
      <formula>14</formula>
    </cfRule>
    <cfRule type="cellIs" dxfId="3361" priority="5781" stopIfTrue="1" operator="between">
      <formula>0</formula>
      <formula>5</formula>
    </cfRule>
    <cfRule type="containsBlanks" dxfId="3360" priority="5782" stopIfTrue="1">
      <formula>LEN(TRIM(Q187))=0</formula>
    </cfRule>
  </conditionalFormatting>
  <conditionalFormatting sqref="Q187">
    <cfRule type="containsBlanks" dxfId="3359" priority="5769" stopIfTrue="1">
      <formula>LEN(TRIM(Q187))=0</formula>
    </cfRule>
    <cfRule type="cellIs" dxfId="3358" priority="5770" stopIfTrue="1" operator="between">
      <formula>80.1</formula>
      <formula>100</formula>
    </cfRule>
    <cfRule type="cellIs" dxfId="3357" priority="5771" stopIfTrue="1" operator="between">
      <formula>35.1</formula>
      <formula>80</formula>
    </cfRule>
    <cfRule type="cellIs" dxfId="3356" priority="5772" stopIfTrue="1" operator="between">
      <formula>14.1</formula>
      <formula>35</formula>
    </cfRule>
    <cfRule type="cellIs" dxfId="3355" priority="5773" stopIfTrue="1" operator="between">
      <formula>5.1</formula>
      <formula>14</formula>
    </cfRule>
    <cfRule type="cellIs" dxfId="3354" priority="5774" stopIfTrue="1" operator="between">
      <formula>0</formula>
      <formula>5</formula>
    </cfRule>
    <cfRule type="containsBlanks" dxfId="3353" priority="5775" stopIfTrue="1">
      <formula>LEN(TRIM(Q187))=0</formula>
    </cfRule>
  </conditionalFormatting>
  <conditionalFormatting sqref="E77 G77:P77">
    <cfRule type="containsBlanks" dxfId="3352" priority="5544" stopIfTrue="1">
      <formula>LEN(TRIM(E77))=0</formula>
    </cfRule>
    <cfRule type="cellIs" dxfId="3351" priority="5545" stopIfTrue="1" operator="between">
      <formula>80.1</formula>
      <formula>100</formula>
    </cfRule>
    <cfRule type="cellIs" dxfId="3350" priority="5546" stopIfTrue="1" operator="between">
      <formula>35.1</formula>
      <formula>80</formula>
    </cfRule>
    <cfRule type="cellIs" dxfId="3349" priority="5547" stopIfTrue="1" operator="between">
      <formula>14.1</formula>
      <formula>35</formula>
    </cfRule>
    <cfRule type="cellIs" dxfId="3348" priority="5548" stopIfTrue="1" operator="between">
      <formula>5.1</formula>
      <formula>14</formula>
    </cfRule>
    <cfRule type="cellIs" dxfId="3347" priority="5549" stopIfTrue="1" operator="between">
      <formula>0</formula>
      <formula>5</formula>
    </cfRule>
    <cfRule type="containsBlanks" dxfId="3346" priority="5550" stopIfTrue="1">
      <formula>LEN(TRIM(E77))=0</formula>
    </cfRule>
  </conditionalFormatting>
  <conditionalFormatting sqref="F77">
    <cfRule type="containsBlanks" dxfId="3345" priority="5537" stopIfTrue="1">
      <formula>LEN(TRIM(F77))=0</formula>
    </cfRule>
    <cfRule type="cellIs" dxfId="3344" priority="5538" stopIfTrue="1" operator="between">
      <formula>79.1</formula>
      <formula>100</formula>
    </cfRule>
    <cfRule type="cellIs" dxfId="3343" priority="5539" stopIfTrue="1" operator="between">
      <formula>34.1</formula>
      <formula>79</formula>
    </cfRule>
    <cfRule type="cellIs" dxfId="3342" priority="5540" stopIfTrue="1" operator="between">
      <formula>13.1</formula>
      <formula>34</formula>
    </cfRule>
    <cfRule type="cellIs" dxfId="3341" priority="5541" stopIfTrue="1" operator="between">
      <formula>5.1</formula>
      <formula>13</formula>
    </cfRule>
    <cfRule type="cellIs" dxfId="3340" priority="5542" stopIfTrue="1" operator="between">
      <formula>0</formula>
      <formula>5</formula>
    </cfRule>
    <cfRule type="containsBlanks" dxfId="3339" priority="5543" stopIfTrue="1">
      <formula>LEN(TRIM(F77))=0</formula>
    </cfRule>
  </conditionalFormatting>
  <conditionalFormatting sqref="Q381">
    <cfRule type="containsBlanks" dxfId="3338" priority="4547" stopIfTrue="1">
      <formula>LEN(TRIM(Q381))=0</formula>
    </cfRule>
    <cfRule type="cellIs" dxfId="3337" priority="4548" stopIfTrue="1" operator="between">
      <formula>80.1</formula>
      <formula>100</formula>
    </cfRule>
    <cfRule type="cellIs" dxfId="3336" priority="4549" stopIfTrue="1" operator="between">
      <formula>35.1</formula>
      <formula>80</formula>
    </cfRule>
    <cfRule type="cellIs" dxfId="3335" priority="4550" stopIfTrue="1" operator="between">
      <formula>14.1</formula>
      <formula>35</formula>
    </cfRule>
    <cfRule type="cellIs" dxfId="3334" priority="4551" stopIfTrue="1" operator="between">
      <formula>5.1</formula>
      <formula>14</formula>
    </cfRule>
    <cfRule type="cellIs" dxfId="3333" priority="4552" stopIfTrue="1" operator="between">
      <formula>0</formula>
      <formula>5</formula>
    </cfRule>
    <cfRule type="containsBlanks" dxfId="3332" priority="4553" stopIfTrue="1">
      <formula>LEN(TRIM(Q381))=0</formula>
    </cfRule>
  </conditionalFormatting>
  <conditionalFormatting sqref="E383:G383 K383:Q383">
    <cfRule type="containsBlanks" dxfId="3331" priority="4603" stopIfTrue="1">
      <formula>LEN(TRIM(E383))=0</formula>
    </cfRule>
    <cfRule type="cellIs" dxfId="3330" priority="4604" stopIfTrue="1" operator="between">
      <formula>80.1</formula>
      <formula>100</formula>
    </cfRule>
    <cfRule type="cellIs" dxfId="3329" priority="4605" stopIfTrue="1" operator="between">
      <formula>35.1</formula>
      <formula>80</formula>
    </cfRule>
    <cfRule type="cellIs" dxfId="3328" priority="4606" stopIfTrue="1" operator="between">
      <formula>14.1</formula>
      <formula>35</formula>
    </cfRule>
    <cfRule type="cellIs" dxfId="3327" priority="4607" stopIfTrue="1" operator="between">
      <formula>5.1</formula>
      <formula>14</formula>
    </cfRule>
    <cfRule type="cellIs" dxfId="3326" priority="4608" stopIfTrue="1" operator="between">
      <formula>0</formula>
      <formula>5</formula>
    </cfRule>
    <cfRule type="containsBlanks" dxfId="3325" priority="4609" stopIfTrue="1">
      <formula>LEN(TRIM(E383))=0</formula>
    </cfRule>
  </conditionalFormatting>
  <conditionalFormatting sqref="N109:O109 L109 J109">
    <cfRule type="containsBlanks" dxfId="3324" priority="5495" stopIfTrue="1">
      <formula>LEN(TRIM(J109))=0</formula>
    </cfRule>
    <cfRule type="cellIs" dxfId="3323" priority="5496" stopIfTrue="1" operator="between">
      <formula>80.1</formula>
      <formula>100</formula>
    </cfRule>
    <cfRule type="cellIs" dxfId="3322" priority="5497" stopIfTrue="1" operator="between">
      <formula>35.1</formula>
      <formula>80</formula>
    </cfRule>
    <cfRule type="cellIs" dxfId="3321" priority="5498" stopIfTrue="1" operator="between">
      <formula>14.1</formula>
      <formula>35</formula>
    </cfRule>
    <cfRule type="cellIs" dxfId="3320" priority="5499" stopIfTrue="1" operator="between">
      <formula>5.1</formula>
      <formula>14</formula>
    </cfRule>
    <cfRule type="cellIs" dxfId="3319" priority="5500" stopIfTrue="1" operator="between">
      <formula>0</formula>
      <formula>5</formula>
    </cfRule>
    <cfRule type="containsBlanks" dxfId="3318" priority="5501" stopIfTrue="1">
      <formula>LEN(TRIM(J109))=0</formula>
    </cfRule>
  </conditionalFormatting>
  <conditionalFormatting sqref="M109 K109 G109:I109 E109 P109">
    <cfRule type="containsBlanks" dxfId="3317" priority="5481" stopIfTrue="1">
      <formula>LEN(TRIM(E109))=0</formula>
    </cfRule>
    <cfRule type="cellIs" dxfId="3316" priority="5482" stopIfTrue="1" operator="between">
      <formula>80.1</formula>
      <formula>100</formula>
    </cfRule>
    <cfRule type="cellIs" dxfId="3315" priority="5483" stopIfTrue="1" operator="between">
      <formula>35.1</formula>
      <formula>80</formula>
    </cfRule>
    <cfRule type="cellIs" dxfId="3314" priority="5484" stopIfTrue="1" operator="between">
      <formula>14.1</formula>
      <formula>35</formula>
    </cfRule>
    <cfRule type="cellIs" dxfId="3313" priority="5485" stopIfTrue="1" operator="between">
      <formula>5.1</formula>
      <formula>14</formula>
    </cfRule>
    <cfRule type="cellIs" dxfId="3312" priority="5486" stopIfTrue="1" operator="between">
      <formula>0</formula>
      <formula>5</formula>
    </cfRule>
    <cfRule type="containsBlanks" dxfId="3311" priority="5487" stopIfTrue="1">
      <formula>LEN(TRIM(E109))=0</formula>
    </cfRule>
  </conditionalFormatting>
  <conditionalFormatting sqref="F109">
    <cfRule type="containsBlanks" dxfId="3310" priority="5474" stopIfTrue="1">
      <formula>LEN(TRIM(F109))=0</formula>
    </cfRule>
    <cfRule type="cellIs" dxfId="3309" priority="5475" stopIfTrue="1" operator="between">
      <formula>79.1</formula>
      <formula>100</formula>
    </cfRule>
    <cfRule type="cellIs" dxfId="3308" priority="5476" stopIfTrue="1" operator="between">
      <formula>34.1</formula>
      <formula>79</formula>
    </cfRule>
    <cfRule type="cellIs" dxfId="3307" priority="5477" stopIfTrue="1" operator="between">
      <formula>13.1</formula>
      <formula>34</formula>
    </cfRule>
    <cfRule type="cellIs" dxfId="3306" priority="5478" stopIfTrue="1" operator="between">
      <formula>5.1</formula>
      <formula>13</formula>
    </cfRule>
    <cfRule type="cellIs" dxfId="3305" priority="5479" stopIfTrue="1" operator="between">
      <formula>0</formula>
      <formula>5</formula>
    </cfRule>
    <cfRule type="containsBlanks" dxfId="3304" priority="5480" stopIfTrue="1">
      <formula>LEN(TRIM(F109))=0</formula>
    </cfRule>
  </conditionalFormatting>
  <conditionalFormatting sqref="Q138">
    <cfRule type="containsBlanks" dxfId="3303" priority="5467" stopIfTrue="1">
      <formula>LEN(TRIM(Q138))=0</formula>
    </cfRule>
    <cfRule type="cellIs" dxfId="3302" priority="5468" stopIfTrue="1" operator="between">
      <formula>79.1</formula>
      <formula>100</formula>
    </cfRule>
    <cfRule type="cellIs" dxfId="3301" priority="5469" stopIfTrue="1" operator="between">
      <formula>34.1</formula>
      <formula>79</formula>
    </cfRule>
    <cfRule type="cellIs" dxfId="3300" priority="5470" stopIfTrue="1" operator="between">
      <formula>13.1</formula>
      <formula>34</formula>
    </cfRule>
    <cfRule type="cellIs" dxfId="3299" priority="5471" stopIfTrue="1" operator="between">
      <formula>5.1</formula>
      <formula>13</formula>
    </cfRule>
    <cfRule type="cellIs" dxfId="3298" priority="5472" stopIfTrue="1" operator="between">
      <formula>0</formula>
      <formula>5</formula>
    </cfRule>
    <cfRule type="containsBlanks" dxfId="3297" priority="5473" stopIfTrue="1">
      <formula>LEN(TRIM(Q138))=0</formula>
    </cfRule>
  </conditionalFormatting>
  <conditionalFormatting sqref="Q139">
    <cfRule type="containsBlanks" dxfId="3296" priority="5460" stopIfTrue="1">
      <formula>LEN(TRIM(Q139))=0</formula>
    </cfRule>
    <cfRule type="cellIs" dxfId="3295" priority="5461" stopIfTrue="1" operator="between">
      <formula>79.1</formula>
      <formula>100</formula>
    </cfRule>
    <cfRule type="cellIs" dxfId="3294" priority="5462" stopIfTrue="1" operator="between">
      <formula>34.1</formula>
      <formula>79</formula>
    </cfRule>
    <cfRule type="cellIs" dxfId="3293" priority="5463" stopIfTrue="1" operator="between">
      <formula>13.1</formula>
      <formula>34</formula>
    </cfRule>
    <cfRule type="cellIs" dxfId="3292" priority="5464" stopIfTrue="1" operator="between">
      <formula>5.1</formula>
      <formula>13</formula>
    </cfRule>
    <cfRule type="cellIs" dxfId="3291" priority="5465" stopIfTrue="1" operator="between">
      <formula>0</formula>
      <formula>5</formula>
    </cfRule>
    <cfRule type="containsBlanks" dxfId="3290" priority="5466" stopIfTrue="1">
      <formula>LEN(TRIM(Q139))=0</formula>
    </cfRule>
  </conditionalFormatting>
  <conditionalFormatting sqref="Q140">
    <cfRule type="containsBlanks" dxfId="3289" priority="5453" stopIfTrue="1">
      <formula>LEN(TRIM(Q140))=0</formula>
    </cfRule>
    <cfRule type="cellIs" dxfId="3288" priority="5454" stopIfTrue="1" operator="between">
      <formula>79.1</formula>
      <formula>100</formula>
    </cfRule>
    <cfRule type="cellIs" dxfId="3287" priority="5455" stopIfTrue="1" operator="between">
      <formula>34.1</formula>
      <formula>79</formula>
    </cfRule>
    <cfRule type="cellIs" dxfId="3286" priority="5456" stopIfTrue="1" operator="between">
      <formula>13.1</formula>
      <formula>34</formula>
    </cfRule>
    <cfRule type="cellIs" dxfId="3285" priority="5457" stopIfTrue="1" operator="between">
      <formula>5.1</formula>
      <formula>13</formula>
    </cfRule>
    <cfRule type="cellIs" dxfId="3284" priority="5458" stopIfTrue="1" operator="between">
      <formula>0</formula>
      <formula>5</formula>
    </cfRule>
    <cfRule type="containsBlanks" dxfId="3283" priority="5459" stopIfTrue="1">
      <formula>LEN(TRIM(Q140))=0</formula>
    </cfRule>
  </conditionalFormatting>
  <conditionalFormatting sqref="Q141">
    <cfRule type="containsBlanks" dxfId="3282" priority="5446" stopIfTrue="1">
      <formula>LEN(TRIM(Q141))=0</formula>
    </cfRule>
    <cfRule type="cellIs" dxfId="3281" priority="5447" stopIfTrue="1" operator="between">
      <formula>79.1</formula>
      <formula>100</formula>
    </cfRule>
    <cfRule type="cellIs" dxfId="3280" priority="5448" stopIfTrue="1" operator="between">
      <formula>34.1</formula>
      <formula>79</formula>
    </cfRule>
    <cfRule type="cellIs" dxfId="3279" priority="5449" stopIfTrue="1" operator="between">
      <formula>13.1</formula>
      <formula>34</formula>
    </cfRule>
    <cfRule type="cellIs" dxfId="3278" priority="5450" stopIfTrue="1" operator="between">
      <formula>5.1</formula>
      <formula>13</formula>
    </cfRule>
    <cfRule type="cellIs" dxfId="3277" priority="5451" stopIfTrue="1" operator="between">
      <formula>0</formula>
      <formula>5</formula>
    </cfRule>
    <cfRule type="containsBlanks" dxfId="3276" priority="5452" stopIfTrue="1">
      <formula>LEN(TRIM(Q141))=0</formula>
    </cfRule>
  </conditionalFormatting>
  <conditionalFormatting sqref="Q142">
    <cfRule type="containsBlanks" dxfId="3275" priority="5439" stopIfTrue="1">
      <formula>LEN(TRIM(Q142))=0</formula>
    </cfRule>
    <cfRule type="cellIs" dxfId="3274" priority="5440" stopIfTrue="1" operator="between">
      <formula>79.1</formula>
      <formula>100</formula>
    </cfRule>
    <cfRule type="cellIs" dxfId="3273" priority="5441" stopIfTrue="1" operator="between">
      <formula>34.1</formula>
      <formula>79</formula>
    </cfRule>
    <cfRule type="cellIs" dxfId="3272" priority="5442" stopIfTrue="1" operator="between">
      <formula>13.1</formula>
      <formula>34</formula>
    </cfRule>
    <cfRule type="cellIs" dxfId="3271" priority="5443" stopIfTrue="1" operator="between">
      <formula>5.1</formula>
      <formula>13</formula>
    </cfRule>
    <cfRule type="cellIs" dxfId="3270" priority="5444" stopIfTrue="1" operator="between">
      <formula>0</formula>
      <formula>5</formula>
    </cfRule>
    <cfRule type="containsBlanks" dxfId="3269" priority="5445" stopIfTrue="1">
      <formula>LEN(TRIM(Q142))=0</formula>
    </cfRule>
  </conditionalFormatting>
  <conditionalFormatting sqref="Q148">
    <cfRule type="containsBlanks" dxfId="3268" priority="5432" stopIfTrue="1">
      <formula>LEN(TRIM(Q148))=0</formula>
    </cfRule>
    <cfRule type="cellIs" dxfId="3267" priority="5433" stopIfTrue="1" operator="between">
      <formula>79.1</formula>
      <formula>100</formula>
    </cfRule>
    <cfRule type="cellIs" dxfId="3266" priority="5434" stopIfTrue="1" operator="between">
      <formula>34.1</formula>
      <formula>79</formula>
    </cfRule>
    <cfRule type="cellIs" dxfId="3265" priority="5435" stopIfTrue="1" operator="between">
      <formula>13.1</formula>
      <formula>34</formula>
    </cfRule>
    <cfRule type="cellIs" dxfId="3264" priority="5436" stopIfTrue="1" operator="between">
      <formula>5.1</formula>
      <formula>13</formula>
    </cfRule>
    <cfRule type="cellIs" dxfId="3263" priority="5437" stopIfTrue="1" operator="between">
      <formula>0</formula>
      <formula>5</formula>
    </cfRule>
    <cfRule type="containsBlanks" dxfId="3262" priority="5438" stopIfTrue="1">
      <formula>LEN(TRIM(Q148))=0</formula>
    </cfRule>
  </conditionalFormatting>
  <conditionalFormatting sqref="Q149:Q152">
    <cfRule type="containsBlanks" dxfId="3261" priority="5425" stopIfTrue="1">
      <formula>LEN(TRIM(Q149))=0</formula>
    </cfRule>
    <cfRule type="cellIs" dxfId="3260" priority="5426" stopIfTrue="1" operator="between">
      <formula>79.1</formula>
      <formula>100</formula>
    </cfRule>
    <cfRule type="cellIs" dxfId="3259" priority="5427" stopIfTrue="1" operator="between">
      <formula>34.1</formula>
      <formula>79</formula>
    </cfRule>
    <cfRule type="cellIs" dxfId="3258" priority="5428" stopIfTrue="1" operator="between">
      <formula>13.1</formula>
      <formula>34</formula>
    </cfRule>
    <cfRule type="cellIs" dxfId="3257" priority="5429" stopIfTrue="1" operator="between">
      <formula>5.1</formula>
      <formula>13</formula>
    </cfRule>
    <cfRule type="cellIs" dxfId="3256" priority="5430" stopIfTrue="1" operator="between">
      <formula>0</formula>
      <formula>5</formula>
    </cfRule>
    <cfRule type="containsBlanks" dxfId="3255" priority="5431" stopIfTrue="1">
      <formula>LEN(TRIM(Q149))=0</formula>
    </cfRule>
  </conditionalFormatting>
  <conditionalFormatting sqref="E154:Q156 E158:Q160 Q157">
    <cfRule type="containsBlanks" dxfId="3254" priority="5418" stopIfTrue="1">
      <formula>LEN(TRIM(E154))=0</formula>
    </cfRule>
    <cfRule type="cellIs" dxfId="3253" priority="5419" stopIfTrue="1" operator="between">
      <formula>79.1</formula>
      <formula>100</formula>
    </cfRule>
    <cfRule type="cellIs" dxfId="3252" priority="5420" stopIfTrue="1" operator="between">
      <formula>34.1</formula>
      <formula>79</formula>
    </cfRule>
    <cfRule type="cellIs" dxfId="3251" priority="5421" stopIfTrue="1" operator="between">
      <formula>13.1</formula>
      <formula>34</formula>
    </cfRule>
    <cfRule type="cellIs" dxfId="3250" priority="5422" stopIfTrue="1" operator="between">
      <formula>5.1</formula>
      <formula>13</formula>
    </cfRule>
    <cfRule type="cellIs" dxfId="3249" priority="5423" stopIfTrue="1" operator="between">
      <formula>0</formula>
      <formula>5</formula>
    </cfRule>
    <cfRule type="containsBlanks" dxfId="3248" priority="5424" stopIfTrue="1">
      <formula>LEN(TRIM(E154))=0</formula>
    </cfRule>
  </conditionalFormatting>
  <conditionalFormatting sqref="Q161">
    <cfRule type="containsBlanks" dxfId="3247" priority="5411" stopIfTrue="1">
      <formula>LEN(TRIM(Q161))=0</formula>
    </cfRule>
    <cfRule type="cellIs" dxfId="3246" priority="5412" stopIfTrue="1" operator="between">
      <formula>79.1</formula>
      <formula>100</formula>
    </cfRule>
    <cfRule type="cellIs" dxfId="3245" priority="5413" stopIfTrue="1" operator="between">
      <formula>34.1</formula>
      <formula>79</formula>
    </cfRule>
    <cfRule type="cellIs" dxfId="3244" priority="5414" stopIfTrue="1" operator="between">
      <formula>13.1</formula>
      <formula>34</formula>
    </cfRule>
    <cfRule type="cellIs" dxfId="3243" priority="5415" stopIfTrue="1" operator="between">
      <formula>5.1</formula>
      <formula>13</formula>
    </cfRule>
    <cfRule type="cellIs" dxfId="3242" priority="5416" stopIfTrue="1" operator="between">
      <formula>0</formula>
      <formula>5</formula>
    </cfRule>
    <cfRule type="containsBlanks" dxfId="3241" priority="5417" stopIfTrue="1">
      <formula>LEN(TRIM(Q161))=0</formula>
    </cfRule>
  </conditionalFormatting>
  <conditionalFormatting sqref="Q163">
    <cfRule type="containsBlanks" dxfId="3240" priority="5404" stopIfTrue="1">
      <formula>LEN(TRIM(Q163))=0</formula>
    </cfRule>
    <cfRule type="cellIs" dxfId="3239" priority="5405" stopIfTrue="1" operator="between">
      <formula>80.1</formula>
      <formula>100</formula>
    </cfRule>
    <cfRule type="cellIs" dxfId="3238" priority="5406" stopIfTrue="1" operator="between">
      <formula>35.1</formula>
      <formula>80</formula>
    </cfRule>
    <cfRule type="cellIs" dxfId="3237" priority="5407" stopIfTrue="1" operator="between">
      <formula>14.1</formula>
      <formula>35</formula>
    </cfRule>
    <cfRule type="cellIs" dxfId="3236" priority="5408" stopIfTrue="1" operator="between">
      <formula>5.1</formula>
      <formula>14</formula>
    </cfRule>
    <cfRule type="cellIs" dxfId="3235" priority="5409" stopIfTrue="1" operator="between">
      <formula>0</formula>
      <formula>5</formula>
    </cfRule>
    <cfRule type="containsBlanks" dxfId="3234" priority="5410" stopIfTrue="1">
      <formula>LEN(TRIM(Q163))=0</formula>
    </cfRule>
  </conditionalFormatting>
  <conditionalFormatting sqref="E165:Q165 Q164 E167:Q168 Q166 E170:Q171 Q169">
    <cfRule type="containsBlanks" dxfId="3233" priority="5397" stopIfTrue="1">
      <formula>LEN(TRIM(E164))=0</formula>
    </cfRule>
    <cfRule type="cellIs" dxfId="3232" priority="5398" stopIfTrue="1" operator="between">
      <formula>80.1</formula>
      <formula>100</formula>
    </cfRule>
    <cfRule type="cellIs" dxfId="3231" priority="5399" stopIfTrue="1" operator="between">
      <formula>35.1</formula>
      <formula>80</formula>
    </cfRule>
    <cfRule type="cellIs" dxfId="3230" priority="5400" stopIfTrue="1" operator="between">
      <formula>14.1</formula>
      <formula>35</formula>
    </cfRule>
    <cfRule type="cellIs" dxfId="3229" priority="5401" stopIfTrue="1" operator="between">
      <formula>5.1</formula>
      <formula>14</formula>
    </cfRule>
    <cfRule type="cellIs" dxfId="3228" priority="5402" stopIfTrue="1" operator="between">
      <formula>0</formula>
      <formula>5</formula>
    </cfRule>
    <cfRule type="containsBlanks" dxfId="3227" priority="5403" stopIfTrue="1">
      <formula>LEN(TRIM(E164))=0</formula>
    </cfRule>
  </conditionalFormatting>
  <conditionalFormatting sqref="E172:Q175">
    <cfRule type="containsBlanks" dxfId="3226" priority="5376" stopIfTrue="1">
      <formula>LEN(TRIM(E172))=0</formula>
    </cfRule>
    <cfRule type="cellIs" dxfId="3225" priority="5377" stopIfTrue="1" operator="between">
      <formula>80.1</formula>
      <formula>100</formula>
    </cfRule>
    <cfRule type="cellIs" dxfId="3224" priority="5378" stopIfTrue="1" operator="between">
      <formula>35.1</formula>
      <formula>80</formula>
    </cfRule>
    <cfRule type="cellIs" dxfId="3223" priority="5379" stopIfTrue="1" operator="between">
      <formula>14.1</formula>
      <formula>35</formula>
    </cfRule>
    <cfRule type="cellIs" dxfId="3222" priority="5380" stopIfTrue="1" operator="between">
      <formula>5.1</formula>
      <formula>14</formula>
    </cfRule>
    <cfRule type="cellIs" dxfId="3221" priority="5381" stopIfTrue="1" operator="between">
      <formula>0</formula>
      <formula>5</formula>
    </cfRule>
    <cfRule type="containsBlanks" dxfId="3220" priority="5382" stopIfTrue="1">
      <formula>LEN(TRIM(E172))=0</formula>
    </cfRule>
  </conditionalFormatting>
  <conditionalFormatting sqref="E176:Q176">
    <cfRule type="containsBlanks" dxfId="3219" priority="5369" stopIfTrue="1">
      <formula>LEN(TRIM(E176))=0</formula>
    </cfRule>
    <cfRule type="cellIs" dxfId="3218" priority="5370" stopIfTrue="1" operator="between">
      <formula>80.1</formula>
      <formula>100</formula>
    </cfRule>
    <cfRule type="cellIs" dxfId="3217" priority="5371" stopIfTrue="1" operator="between">
      <formula>35.1</formula>
      <formula>80</formula>
    </cfRule>
    <cfRule type="cellIs" dxfId="3216" priority="5372" stopIfTrue="1" operator="between">
      <formula>14.1</formula>
      <formula>35</formula>
    </cfRule>
    <cfRule type="cellIs" dxfId="3215" priority="5373" stopIfTrue="1" operator="between">
      <formula>5.1</formula>
      <formula>14</formula>
    </cfRule>
    <cfRule type="cellIs" dxfId="3214" priority="5374" stopIfTrue="1" operator="between">
      <formula>0</formula>
      <formula>5</formula>
    </cfRule>
    <cfRule type="containsBlanks" dxfId="3213" priority="5375" stopIfTrue="1">
      <formula>LEN(TRIM(E176))=0</formula>
    </cfRule>
  </conditionalFormatting>
  <conditionalFormatting sqref="E177:Q179 E181:Q181">
    <cfRule type="containsBlanks" dxfId="3212" priority="5362" stopIfTrue="1">
      <formula>LEN(TRIM(E177))=0</formula>
    </cfRule>
    <cfRule type="cellIs" dxfId="3211" priority="5363" stopIfTrue="1" operator="between">
      <formula>80.1</formula>
      <formula>100</formula>
    </cfRule>
    <cfRule type="cellIs" dxfId="3210" priority="5364" stopIfTrue="1" operator="between">
      <formula>35.1</formula>
      <formula>80</formula>
    </cfRule>
    <cfRule type="cellIs" dxfId="3209" priority="5365" stopIfTrue="1" operator="between">
      <formula>14.1</formula>
      <formula>35</formula>
    </cfRule>
    <cfRule type="cellIs" dxfId="3208" priority="5366" stopIfTrue="1" operator="between">
      <formula>5.1</formula>
      <formula>14</formula>
    </cfRule>
    <cfRule type="cellIs" dxfId="3207" priority="5367" stopIfTrue="1" operator="between">
      <formula>0</formula>
      <formula>5</formula>
    </cfRule>
    <cfRule type="containsBlanks" dxfId="3206" priority="5368" stopIfTrue="1">
      <formula>LEN(TRIM(E177))=0</formula>
    </cfRule>
  </conditionalFormatting>
  <conditionalFormatting sqref="E180:Q180">
    <cfRule type="containsBlanks" dxfId="3205" priority="5355" stopIfTrue="1">
      <formula>LEN(TRIM(E180))=0</formula>
    </cfRule>
    <cfRule type="cellIs" dxfId="3204" priority="5356" stopIfTrue="1" operator="between">
      <formula>80.1</formula>
      <formula>100</formula>
    </cfRule>
    <cfRule type="cellIs" dxfId="3203" priority="5357" stopIfTrue="1" operator="between">
      <formula>35.1</formula>
      <formula>80</formula>
    </cfRule>
    <cfRule type="cellIs" dxfId="3202" priority="5358" stopIfTrue="1" operator="between">
      <formula>14.1</formula>
      <formula>35</formula>
    </cfRule>
    <cfRule type="cellIs" dxfId="3201" priority="5359" stopIfTrue="1" operator="between">
      <formula>5.1</formula>
      <formula>14</formula>
    </cfRule>
    <cfRule type="cellIs" dxfId="3200" priority="5360" stopIfTrue="1" operator="between">
      <formula>0</formula>
      <formula>5</formula>
    </cfRule>
    <cfRule type="containsBlanks" dxfId="3199" priority="5361" stopIfTrue="1">
      <formula>LEN(TRIM(E180))=0</formula>
    </cfRule>
  </conditionalFormatting>
  <conditionalFormatting sqref="E182:Q182">
    <cfRule type="containsBlanks" dxfId="3198" priority="5348" stopIfTrue="1">
      <formula>LEN(TRIM(E182))=0</formula>
    </cfRule>
    <cfRule type="cellIs" dxfId="3197" priority="5349" stopIfTrue="1" operator="between">
      <formula>80.1</formula>
      <formula>100</formula>
    </cfRule>
    <cfRule type="cellIs" dxfId="3196" priority="5350" stopIfTrue="1" operator="between">
      <formula>35.1</formula>
      <formula>80</formula>
    </cfRule>
    <cfRule type="cellIs" dxfId="3195" priority="5351" stopIfTrue="1" operator="between">
      <formula>14.1</formula>
      <formula>35</formula>
    </cfRule>
    <cfRule type="cellIs" dxfId="3194" priority="5352" stopIfTrue="1" operator="between">
      <formula>5.1</formula>
      <formula>14</formula>
    </cfRule>
    <cfRule type="cellIs" dxfId="3193" priority="5353" stopIfTrue="1" operator="between">
      <formula>0</formula>
      <formula>5</formula>
    </cfRule>
    <cfRule type="containsBlanks" dxfId="3192" priority="5354" stopIfTrue="1">
      <formula>LEN(TRIM(E182))=0</formula>
    </cfRule>
  </conditionalFormatting>
  <conditionalFormatting sqref="E183:Q184">
    <cfRule type="containsBlanks" dxfId="3191" priority="5341" stopIfTrue="1">
      <formula>LEN(TRIM(E183))=0</formula>
    </cfRule>
    <cfRule type="cellIs" dxfId="3190" priority="5342" stopIfTrue="1" operator="between">
      <formula>80.1</formula>
      <formula>100</formula>
    </cfRule>
    <cfRule type="cellIs" dxfId="3189" priority="5343" stopIfTrue="1" operator="between">
      <formula>35.1</formula>
      <formula>80</formula>
    </cfRule>
    <cfRule type="cellIs" dxfId="3188" priority="5344" stopIfTrue="1" operator="between">
      <formula>14.1</formula>
      <formula>35</formula>
    </cfRule>
    <cfRule type="cellIs" dxfId="3187" priority="5345" stopIfTrue="1" operator="between">
      <formula>5.1</formula>
      <formula>14</formula>
    </cfRule>
    <cfRule type="cellIs" dxfId="3186" priority="5346" stopIfTrue="1" operator="between">
      <formula>0</formula>
      <formula>5</formula>
    </cfRule>
    <cfRule type="containsBlanks" dxfId="3185" priority="5347" stopIfTrue="1">
      <formula>LEN(TRIM(E183))=0</formula>
    </cfRule>
  </conditionalFormatting>
  <conditionalFormatting sqref="E185:Q185">
    <cfRule type="containsBlanks" dxfId="3184" priority="5305" stopIfTrue="1">
      <formula>LEN(TRIM(E185))=0</formula>
    </cfRule>
    <cfRule type="cellIs" dxfId="3183" priority="5306" stopIfTrue="1" operator="between">
      <formula>80.1</formula>
      <formula>100</formula>
    </cfRule>
    <cfRule type="cellIs" dxfId="3182" priority="5307" stopIfTrue="1" operator="between">
      <formula>35.1</formula>
      <formula>80</formula>
    </cfRule>
    <cfRule type="cellIs" dxfId="3181" priority="5308" stopIfTrue="1" operator="between">
      <formula>14.1</formula>
      <formula>35</formula>
    </cfRule>
    <cfRule type="cellIs" dxfId="3180" priority="5309" stopIfTrue="1" operator="between">
      <formula>5.1</formula>
      <formula>14</formula>
    </cfRule>
    <cfRule type="cellIs" dxfId="3179" priority="5310" stopIfTrue="1" operator="between">
      <formula>0</formula>
      <formula>5</formula>
    </cfRule>
    <cfRule type="containsBlanks" dxfId="3178" priority="5311" stopIfTrue="1">
      <formula>LEN(TRIM(E185))=0</formula>
    </cfRule>
  </conditionalFormatting>
  <conditionalFormatting sqref="E186:Q186">
    <cfRule type="containsBlanks" dxfId="3177" priority="5298" stopIfTrue="1">
      <formula>LEN(TRIM(E186))=0</formula>
    </cfRule>
    <cfRule type="cellIs" dxfId="3176" priority="5299" stopIfTrue="1" operator="between">
      <formula>80.1</formula>
      <formula>100</formula>
    </cfRule>
    <cfRule type="cellIs" dxfId="3175" priority="5300" stopIfTrue="1" operator="between">
      <formula>35.1</formula>
      <formula>80</formula>
    </cfRule>
    <cfRule type="cellIs" dxfId="3174" priority="5301" stopIfTrue="1" operator="between">
      <formula>14.1</formula>
      <formula>35</formula>
    </cfRule>
    <cfRule type="cellIs" dxfId="3173" priority="5302" stopIfTrue="1" operator="between">
      <formula>5.1</formula>
      <formula>14</formula>
    </cfRule>
    <cfRule type="cellIs" dxfId="3172" priority="5303" stopIfTrue="1" operator="between">
      <formula>0</formula>
      <formula>5</formula>
    </cfRule>
    <cfRule type="containsBlanks" dxfId="3171" priority="5304" stopIfTrue="1">
      <formula>LEN(TRIM(E186))=0</formula>
    </cfRule>
  </conditionalFormatting>
  <conditionalFormatting sqref="E188:Q188">
    <cfRule type="containsBlanks" dxfId="3170" priority="5291" stopIfTrue="1">
      <formula>LEN(TRIM(E188))=0</formula>
    </cfRule>
    <cfRule type="cellIs" dxfId="3169" priority="5292" stopIfTrue="1" operator="between">
      <formula>80.1</formula>
      <formula>100</formula>
    </cfRule>
    <cfRule type="cellIs" dxfId="3168" priority="5293" stopIfTrue="1" operator="between">
      <formula>35.1</formula>
      <formula>80</formula>
    </cfRule>
    <cfRule type="cellIs" dxfId="3167" priority="5294" stopIfTrue="1" operator="between">
      <formula>14.1</formula>
      <formula>35</formula>
    </cfRule>
    <cfRule type="cellIs" dxfId="3166" priority="5295" stopIfTrue="1" operator="between">
      <formula>5.1</formula>
      <formula>14</formula>
    </cfRule>
    <cfRule type="cellIs" dxfId="3165" priority="5296" stopIfTrue="1" operator="between">
      <formula>0</formula>
      <formula>5</formula>
    </cfRule>
    <cfRule type="containsBlanks" dxfId="3164" priority="5297" stopIfTrue="1">
      <formula>LEN(TRIM(E188))=0</formula>
    </cfRule>
  </conditionalFormatting>
  <conditionalFormatting sqref="E191:Q194">
    <cfRule type="containsBlanks" dxfId="3163" priority="5270" stopIfTrue="1">
      <formula>LEN(TRIM(E191))=0</formula>
    </cfRule>
    <cfRule type="cellIs" dxfId="3162" priority="5271" stopIfTrue="1" operator="between">
      <formula>80.1</formula>
      <formula>100</formula>
    </cfRule>
    <cfRule type="cellIs" dxfId="3161" priority="5272" stopIfTrue="1" operator="between">
      <formula>35.1</formula>
      <formula>80</formula>
    </cfRule>
    <cfRule type="cellIs" dxfId="3160" priority="5273" stopIfTrue="1" operator="between">
      <formula>14.1</formula>
      <formula>35</formula>
    </cfRule>
    <cfRule type="cellIs" dxfId="3159" priority="5274" stopIfTrue="1" operator="between">
      <formula>5.1</formula>
      <formula>14</formula>
    </cfRule>
    <cfRule type="cellIs" dxfId="3158" priority="5275" stopIfTrue="1" operator="between">
      <formula>0</formula>
      <formula>5</formula>
    </cfRule>
    <cfRule type="containsBlanks" dxfId="3157" priority="5276" stopIfTrue="1">
      <formula>LEN(TRIM(E191))=0</formula>
    </cfRule>
  </conditionalFormatting>
  <conditionalFormatting sqref="E195:Q196">
    <cfRule type="containsBlanks" dxfId="3156" priority="5263" stopIfTrue="1">
      <formula>LEN(TRIM(E195))=0</formula>
    </cfRule>
    <cfRule type="cellIs" dxfId="3155" priority="5264" stopIfTrue="1" operator="between">
      <formula>80.1</formula>
      <formula>100</formula>
    </cfRule>
    <cfRule type="cellIs" dxfId="3154" priority="5265" stopIfTrue="1" operator="between">
      <formula>35.1</formula>
      <formula>80</formula>
    </cfRule>
    <cfRule type="cellIs" dxfId="3153" priority="5266" stopIfTrue="1" operator="between">
      <formula>14.1</formula>
      <formula>35</formula>
    </cfRule>
    <cfRule type="cellIs" dxfId="3152" priority="5267" stopIfTrue="1" operator="between">
      <formula>5.1</formula>
      <formula>14</formula>
    </cfRule>
    <cfRule type="cellIs" dxfId="3151" priority="5268" stopIfTrue="1" operator="between">
      <formula>0</formula>
      <formula>5</formula>
    </cfRule>
    <cfRule type="containsBlanks" dxfId="3150" priority="5269" stopIfTrue="1">
      <formula>LEN(TRIM(E195))=0</formula>
    </cfRule>
  </conditionalFormatting>
  <conditionalFormatting sqref="E203:Q203">
    <cfRule type="containsBlanks" dxfId="3149" priority="5256" stopIfTrue="1">
      <formula>LEN(TRIM(E203))=0</formula>
    </cfRule>
    <cfRule type="cellIs" dxfId="3148" priority="5257" stopIfTrue="1" operator="between">
      <formula>80.1</formula>
      <formula>100</formula>
    </cfRule>
    <cfRule type="cellIs" dxfId="3147" priority="5258" stopIfTrue="1" operator="between">
      <formula>35.1</formula>
      <formula>80</formula>
    </cfRule>
    <cfRule type="cellIs" dxfId="3146" priority="5259" stopIfTrue="1" operator="between">
      <formula>14.1</formula>
      <formula>35</formula>
    </cfRule>
    <cfRule type="cellIs" dxfId="3145" priority="5260" stopIfTrue="1" operator="between">
      <formula>5.1</formula>
      <formula>14</formula>
    </cfRule>
    <cfRule type="cellIs" dxfId="3144" priority="5261" stopIfTrue="1" operator="between">
      <formula>0</formula>
      <formula>5</formula>
    </cfRule>
    <cfRule type="containsBlanks" dxfId="3143" priority="5262" stopIfTrue="1">
      <formula>LEN(TRIM(E203))=0</formula>
    </cfRule>
  </conditionalFormatting>
  <conditionalFormatting sqref="E206:Q207">
    <cfRule type="containsBlanks" dxfId="3142" priority="5249" stopIfTrue="1">
      <formula>LEN(TRIM(E206))=0</formula>
    </cfRule>
    <cfRule type="cellIs" dxfId="3141" priority="5250" stopIfTrue="1" operator="between">
      <formula>80.1</formula>
      <formula>100</formula>
    </cfRule>
    <cfRule type="cellIs" dxfId="3140" priority="5251" stopIfTrue="1" operator="between">
      <formula>35.1</formula>
      <formula>80</formula>
    </cfRule>
    <cfRule type="cellIs" dxfId="3139" priority="5252" stopIfTrue="1" operator="between">
      <formula>14.1</formula>
      <formula>35</formula>
    </cfRule>
    <cfRule type="cellIs" dxfId="3138" priority="5253" stopIfTrue="1" operator="between">
      <formula>5.1</formula>
      <formula>14</formula>
    </cfRule>
    <cfRule type="cellIs" dxfId="3137" priority="5254" stopIfTrue="1" operator="between">
      <formula>0</formula>
      <formula>5</formula>
    </cfRule>
    <cfRule type="containsBlanks" dxfId="3136" priority="5255" stopIfTrue="1">
      <formula>LEN(TRIM(E206))=0</formula>
    </cfRule>
  </conditionalFormatting>
  <conditionalFormatting sqref="E204:Q204">
    <cfRule type="containsBlanks" dxfId="3135" priority="5242" stopIfTrue="1">
      <formula>LEN(TRIM(E204))=0</formula>
    </cfRule>
    <cfRule type="cellIs" dxfId="3134" priority="5243" stopIfTrue="1" operator="between">
      <formula>80.1</formula>
      <formula>100</formula>
    </cfRule>
    <cfRule type="cellIs" dxfId="3133" priority="5244" stopIfTrue="1" operator="between">
      <formula>35.1</formula>
      <formula>80</formula>
    </cfRule>
    <cfRule type="cellIs" dxfId="3132" priority="5245" stopIfTrue="1" operator="between">
      <formula>14.1</formula>
      <formula>35</formula>
    </cfRule>
    <cfRule type="cellIs" dxfId="3131" priority="5246" stopIfTrue="1" operator="between">
      <formula>5.1</formula>
      <formula>14</formula>
    </cfRule>
    <cfRule type="cellIs" dxfId="3130" priority="5247" stopIfTrue="1" operator="between">
      <formula>0</formula>
      <formula>5</formula>
    </cfRule>
    <cfRule type="containsBlanks" dxfId="3129" priority="5248" stopIfTrue="1">
      <formula>LEN(TRIM(E204))=0</formula>
    </cfRule>
  </conditionalFormatting>
  <conditionalFormatting sqref="E213:Q218">
    <cfRule type="containsBlanks" dxfId="3128" priority="5235" stopIfTrue="1">
      <formula>LEN(TRIM(E213))=0</formula>
    </cfRule>
    <cfRule type="cellIs" dxfId="3127" priority="5236" stopIfTrue="1" operator="between">
      <formula>80.1</formula>
      <formula>100</formula>
    </cfRule>
    <cfRule type="cellIs" dxfId="3126" priority="5237" stopIfTrue="1" operator="between">
      <formula>35.1</formula>
      <formula>80</formula>
    </cfRule>
    <cfRule type="cellIs" dxfId="3125" priority="5238" stopIfTrue="1" operator="between">
      <formula>14.1</formula>
      <formula>35</formula>
    </cfRule>
    <cfRule type="cellIs" dxfId="3124" priority="5239" stopIfTrue="1" operator="between">
      <formula>5.1</formula>
      <formula>14</formula>
    </cfRule>
    <cfRule type="cellIs" dxfId="3123" priority="5240" stopIfTrue="1" operator="between">
      <formula>0</formula>
      <formula>5</formula>
    </cfRule>
    <cfRule type="containsBlanks" dxfId="3122" priority="5241" stopIfTrue="1">
      <formula>LEN(TRIM(E213))=0</formula>
    </cfRule>
  </conditionalFormatting>
  <conditionalFormatting sqref="E239:Q239">
    <cfRule type="containsBlanks" dxfId="3121" priority="5221" stopIfTrue="1">
      <formula>LEN(TRIM(E239))=0</formula>
    </cfRule>
    <cfRule type="cellIs" dxfId="3120" priority="5222" stopIfTrue="1" operator="between">
      <formula>79.1</formula>
      <formula>100</formula>
    </cfRule>
    <cfRule type="cellIs" dxfId="3119" priority="5223" stopIfTrue="1" operator="between">
      <formula>34.1</formula>
      <formula>79</formula>
    </cfRule>
    <cfRule type="cellIs" dxfId="3118" priority="5224" stopIfTrue="1" operator="between">
      <formula>13.1</formula>
      <formula>34</formula>
    </cfRule>
    <cfRule type="cellIs" dxfId="3117" priority="5225" stopIfTrue="1" operator="between">
      <formula>5.1</formula>
      <formula>13</formula>
    </cfRule>
    <cfRule type="cellIs" dxfId="3116" priority="5226" stopIfTrue="1" operator="between">
      <formula>0</formula>
      <formula>5</formula>
    </cfRule>
    <cfRule type="containsBlanks" dxfId="3115" priority="5227" stopIfTrue="1">
      <formula>LEN(TRIM(E239))=0</formula>
    </cfRule>
  </conditionalFormatting>
  <conditionalFormatting sqref="Q249">
    <cfRule type="containsBlanks" dxfId="3114" priority="5200" stopIfTrue="1">
      <formula>LEN(TRIM(Q249))=0</formula>
    </cfRule>
    <cfRule type="cellIs" dxfId="3113" priority="5201" stopIfTrue="1" operator="between">
      <formula>79.1</formula>
      <formula>100</formula>
    </cfRule>
    <cfRule type="cellIs" dxfId="3112" priority="5202" stopIfTrue="1" operator="between">
      <formula>34.1</formula>
      <formula>79</formula>
    </cfRule>
    <cfRule type="cellIs" dxfId="3111" priority="5203" stopIfTrue="1" operator="between">
      <formula>13.1</formula>
      <formula>34</formula>
    </cfRule>
    <cfRule type="cellIs" dxfId="3110" priority="5204" stopIfTrue="1" operator="between">
      <formula>5.1</formula>
      <formula>13</formula>
    </cfRule>
    <cfRule type="cellIs" dxfId="3109" priority="5205" stopIfTrue="1" operator="between">
      <formula>0</formula>
      <formula>5</formula>
    </cfRule>
    <cfRule type="containsBlanks" dxfId="3108" priority="5206" stopIfTrue="1">
      <formula>LEN(TRIM(Q249))=0</formula>
    </cfRule>
  </conditionalFormatting>
  <conditionalFormatting sqref="Q243:Q244">
    <cfRule type="containsBlanks" dxfId="3107" priority="5207" stopIfTrue="1">
      <formula>LEN(TRIM(Q243))=0</formula>
    </cfRule>
    <cfRule type="cellIs" dxfId="3106" priority="5208" stopIfTrue="1" operator="between">
      <formula>79.1</formula>
      <formula>100</formula>
    </cfRule>
    <cfRule type="cellIs" dxfId="3105" priority="5209" stopIfTrue="1" operator="between">
      <formula>34.1</formula>
      <formula>79</formula>
    </cfRule>
    <cfRule type="cellIs" dxfId="3104" priority="5210" stopIfTrue="1" operator="between">
      <formula>13.1</formula>
      <formula>34</formula>
    </cfRule>
    <cfRule type="cellIs" dxfId="3103" priority="5211" stopIfTrue="1" operator="between">
      <formula>5.1</formula>
      <formula>13</formula>
    </cfRule>
    <cfRule type="cellIs" dxfId="3102" priority="5212" stopIfTrue="1" operator="between">
      <formula>0</formula>
      <formula>5</formula>
    </cfRule>
    <cfRule type="containsBlanks" dxfId="3101" priority="5213" stopIfTrue="1">
      <formula>LEN(TRIM(Q243))=0</formula>
    </cfRule>
  </conditionalFormatting>
  <conditionalFormatting sqref="E276:Q276">
    <cfRule type="containsBlanks" dxfId="3100" priority="5193" stopIfTrue="1">
      <formula>LEN(TRIM(E276))=0</formula>
    </cfRule>
    <cfRule type="cellIs" dxfId="3099" priority="5194" stopIfTrue="1" operator="between">
      <formula>79.1</formula>
      <formula>100</formula>
    </cfRule>
    <cfRule type="cellIs" dxfId="3098" priority="5195" stopIfTrue="1" operator="between">
      <formula>34.1</formula>
      <formula>79</formula>
    </cfRule>
    <cfRule type="cellIs" dxfId="3097" priority="5196" stopIfTrue="1" operator="between">
      <formula>13.1</formula>
      <formula>34</formula>
    </cfRule>
    <cfRule type="cellIs" dxfId="3096" priority="5197" stopIfTrue="1" operator="between">
      <formula>5.1</formula>
      <formula>13</formula>
    </cfRule>
    <cfRule type="cellIs" dxfId="3095" priority="5198" stopIfTrue="1" operator="between">
      <formula>0</formula>
      <formula>5</formula>
    </cfRule>
    <cfRule type="containsBlanks" dxfId="3094" priority="5199" stopIfTrue="1">
      <formula>LEN(TRIM(E276))=0</formula>
    </cfRule>
  </conditionalFormatting>
  <conditionalFormatting sqref="Q253">
    <cfRule type="containsBlanks" dxfId="3093" priority="5186" stopIfTrue="1">
      <formula>LEN(TRIM(Q253))=0</formula>
    </cfRule>
    <cfRule type="cellIs" dxfId="3092" priority="5187" stopIfTrue="1" operator="between">
      <formula>79.1</formula>
      <formula>100</formula>
    </cfRule>
    <cfRule type="cellIs" dxfId="3091" priority="5188" stopIfTrue="1" operator="between">
      <formula>34.1</formula>
      <formula>79</formula>
    </cfRule>
    <cfRule type="cellIs" dxfId="3090" priority="5189" stopIfTrue="1" operator="between">
      <formula>13.1</formula>
      <formula>34</formula>
    </cfRule>
    <cfRule type="cellIs" dxfId="3089" priority="5190" stopIfTrue="1" operator="between">
      <formula>5.1</formula>
      <formula>13</formula>
    </cfRule>
    <cfRule type="cellIs" dxfId="3088" priority="5191" stopIfTrue="1" operator="between">
      <formula>0</formula>
      <formula>5</formula>
    </cfRule>
    <cfRule type="containsBlanks" dxfId="3087" priority="5192" stopIfTrue="1">
      <formula>LEN(TRIM(Q253))=0</formula>
    </cfRule>
  </conditionalFormatting>
  <conditionalFormatting sqref="Q264:Q265">
    <cfRule type="containsBlanks" dxfId="3086" priority="5179" stopIfTrue="1">
      <formula>LEN(TRIM(Q264))=0</formula>
    </cfRule>
    <cfRule type="cellIs" dxfId="3085" priority="5180" stopIfTrue="1" operator="between">
      <formula>79.1</formula>
      <formula>100</formula>
    </cfRule>
    <cfRule type="cellIs" dxfId="3084" priority="5181" stopIfTrue="1" operator="between">
      <formula>34.1</formula>
      <formula>79</formula>
    </cfRule>
    <cfRule type="cellIs" dxfId="3083" priority="5182" stopIfTrue="1" operator="between">
      <formula>13.1</formula>
      <formula>34</formula>
    </cfRule>
    <cfRule type="cellIs" dxfId="3082" priority="5183" stopIfTrue="1" operator="between">
      <formula>5.1</formula>
      <formula>13</formula>
    </cfRule>
    <cfRule type="cellIs" dxfId="3081" priority="5184" stopIfTrue="1" operator="between">
      <formula>0</formula>
      <formula>5</formula>
    </cfRule>
    <cfRule type="containsBlanks" dxfId="3080" priority="5185" stopIfTrue="1">
      <formula>LEN(TRIM(Q264))=0</formula>
    </cfRule>
  </conditionalFormatting>
  <conditionalFormatting sqref="Q246">
    <cfRule type="containsBlanks" dxfId="3079" priority="5172" stopIfTrue="1">
      <formula>LEN(TRIM(Q246))=0</formula>
    </cfRule>
    <cfRule type="cellIs" dxfId="3078" priority="5173" stopIfTrue="1" operator="between">
      <formula>79.1</formula>
      <formula>100</formula>
    </cfRule>
    <cfRule type="cellIs" dxfId="3077" priority="5174" stopIfTrue="1" operator="between">
      <formula>34.1</formula>
      <formula>79</formula>
    </cfRule>
    <cfRule type="cellIs" dxfId="3076" priority="5175" stopIfTrue="1" operator="between">
      <formula>13.1</formula>
      <formula>34</formula>
    </cfRule>
    <cfRule type="cellIs" dxfId="3075" priority="5176" stopIfTrue="1" operator="between">
      <formula>5.1</formula>
      <formula>13</formula>
    </cfRule>
    <cfRule type="cellIs" dxfId="3074" priority="5177" stopIfTrue="1" operator="between">
      <formula>0</formula>
      <formula>5</formula>
    </cfRule>
    <cfRule type="containsBlanks" dxfId="3073" priority="5178" stopIfTrue="1">
      <formula>LEN(TRIM(Q246))=0</formula>
    </cfRule>
  </conditionalFormatting>
  <conditionalFormatting sqref="Q247">
    <cfRule type="containsBlanks" dxfId="3072" priority="5165" stopIfTrue="1">
      <formula>LEN(TRIM(Q247))=0</formula>
    </cfRule>
    <cfRule type="cellIs" dxfId="3071" priority="5166" stopIfTrue="1" operator="between">
      <formula>79.1</formula>
      <formula>100</formula>
    </cfRule>
    <cfRule type="cellIs" dxfId="3070" priority="5167" stopIfTrue="1" operator="between">
      <formula>34.1</formula>
      <formula>79</formula>
    </cfRule>
    <cfRule type="cellIs" dxfId="3069" priority="5168" stopIfTrue="1" operator="between">
      <formula>13.1</formula>
      <formula>34</formula>
    </cfRule>
    <cfRule type="cellIs" dxfId="3068" priority="5169" stopIfTrue="1" operator="between">
      <formula>5.1</formula>
      <formula>13</formula>
    </cfRule>
    <cfRule type="cellIs" dxfId="3067" priority="5170" stopIfTrue="1" operator="between">
      <formula>0</formula>
      <formula>5</formula>
    </cfRule>
    <cfRule type="containsBlanks" dxfId="3066" priority="5171" stopIfTrue="1">
      <formula>LEN(TRIM(Q247))=0</formula>
    </cfRule>
  </conditionalFormatting>
  <conditionalFormatting sqref="E248:Q248">
    <cfRule type="containsBlanks" dxfId="3065" priority="5158" stopIfTrue="1">
      <formula>LEN(TRIM(E248))=0</formula>
    </cfRule>
    <cfRule type="cellIs" dxfId="3064" priority="5159" stopIfTrue="1" operator="between">
      <formula>79.1</formula>
      <formula>100</formula>
    </cfRule>
    <cfRule type="cellIs" dxfId="3063" priority="5160" stopIfTrue="1" operator="between">
      <formula>34.1</formula>
      <formula>79</formula>
    </cfRule>
    <cfRule type="cellIs" dxfId="3062" priority="5161" stopIfTrue="1" operator="between">
      <formula>13.1</formula>
      <formula>34</formula>
    </cfRule>
    <cfRule type="cellIs" dxfId="3061" priority="5162" stopIfTrue="1" operator="between">
      <formula>5.1</formula>
      <formula>13</formula>
    </cfRule>
    <cfRule type="cellIs" dxfId="3060" priority="5163" stopIfTrue="1" operator="between">
      <formula>0</formula>
      <formula>5</formula>
    </cfRule>
    <cfRule type="containsBlanks" dxfId="3059" priority="5164" stopIfTrue="1">
      <formula>LEN(TRIM(E248))=0</formula>
    </cfRule>
  </conditionalFormatting>
  <conditionalFormatting sqref="E240:Q240">
    <cfRule type="containsBlanks" dxfId="3058" priority="5151" stopIfTrue="1">
      <formula>LEN(TRIM(E240))=0</formula>
    </cfRule>
    <cfRule type="cellIs" dxfId="3057" priority="5152" stopIfTrue="1" operator="between">
      <formula>79.1</formula>
      <formula>100</formula>
    </cfRule>
    <cfRule type="cellIs" dxfId="3056" priority="5153" stopIfTrue="1" operator="between">
      <formula>34.1</formula>
      <formula>79</formula>
    </cfRule>
    <cfRule type="cellIs" dxfId="3055" priority="5154" stopIfTrue="1" operator="between">
      <formula>13.1</formula>
      <formula>34</formula>
    </cfRule>
    <cfRule type="cellIs" dxfId="3054" priority="5155" stopIfTrue="1" operator="between">
      <formula>5.1</formula>
      <formula>13</formula>
    </cfRule>
    <cfRule type="cellIs" dxfId="3053" priority="5156" stopIfTrue="1" operator="between">
      <formula>0</formula>
      <formula>5</formula>
    </cfRule>
    <cfRule type="containsBlanks" dxfId="3052" priority="5157" stopIfTrue="1">
      <formula>LEN(TRIM(E240))=0</formula>
    </cfRule>
  </conditionalFormatting>
  <conditionalFormatting sqref="Q252">
    <cfRule type="containsBlanks" dxfId="3051" priority="5144" stopIfTrue="1">
      <formula>LEN(TRIM(Q252))=0</formula>
    </cfRule>
    <cfRule type="cellIs" dxfId="3050" priority="5145" stopIfTrue="1" operator="between">
      <formula>79.1</formula>
      <formula>100</formula>
    </cfRule>
    <cfRule type="cellIs" dxfId="3049" priority="5146" stopIfTrue="1" operator="between">
      <formula>34.1</formula>
      <formula>79</formula>
    </cfRule>
    <cfRule type="cellIs" dxfId="3048" priority="5147" stopIfTrue="1" operator="between">
      <formula>13.1</formula>
      <formula>34</formula>
    </cfRule>
    <cfRule type="cellIs" dxfId="3047" priority="5148" stopIfTrue="1" operator="between">
      <formula>5.1</formula>
      <formula>13</formula>
    </cfRule>
    <cfRule type="cellIs" dxfId="3046" priority="5149" stopIfTrue="1" operator="between">
      <formula>0</formula>
      <formula>5</formula>
    </cfRule>
    <cfRule type="containsBlanks" dxfId="3045" priority="5150" stopIfTrue="1">
      <formula>LEN(TRIM(Q252))=0</formula>
    </cfRule>
  </conditionalFormatting>
  <conditionalFormatting sqref="Q254">
    <cfRule type="containsBlanks" dxfId="3044" priority="5137" stopIfTrue="1">
      <formula>LEN(TRIM(Q254))=0</formula>
    </cfRule>
    <cfRule type="cellIs" dxfId="3043" priority="5138" stopIfTrue="1" operator="between">
      <formula>79.1</formula>
      <formula>100</formula>
    </cfRule>
    <cfRule type="cellIs" dxfId="3042" priority="5139" stopIfTrue="1" operator="between">
      <formula>34.1</formula>
      <formula>79</formula>
    </cfRule>
    <cfRule type="cellIs" dxfId="3041" priority="5140" stopIfTrue="1" operator="between">
      <formula>13.1</formula>
      <formula>34</formula>
    </cfRule>
    <cfRule type="cellIs" dxfId="3040" priority="5141" stopIfTrue="1" operator="between">
      <formula>5.1</formula>
      <formula>13</formula>
    </cfRule>
    <cfRule type="cellIs" dxfId="3039" priority="5142" stopIfTrue="1" operator="between">
      <formula>0</formula>
      <formula>5</formula>
    </cfRule>
    <cfRule type="containsBlanks" dxfId="3038" priority="5143" stopIfTrue="1">
      <formula>LEN(TRIM(Q254))=0</formula>
    </cfRule>
  </conditionalFormatting>
  <conditionalFormatting sqref="Q257">
    <cfRule type="containsBlanks" dxfId="3037" priority="5130" stopIfTrue="1">
      <formula>LEN(TRIM(Q257))=0</formula>
    </cfRule>
    <cfRule type="cellIs" dxfId="3036" priority="5131" stopIfTrue="1" operator="between">
      <formula>79.1</formula>
      <formula>100</formula>
    </cfRule>
    <cfRule type="cellIs" dxfId="3035" priority="5132" stopIfTrue="1" operator="between">
      <formula>34.1</formula>
      <formula>79</formula>
    </cfRule>
    <cfRule type="cellIs" dxfId="3034" priority="5133" stopIfTrue="1" operator="between">
      <formula>13.1</formula>
      <formula>34</formula>
    </cfRule>
    <cfRule type="cellIs" dxfId="3033" priority="5134" stopIfTrue="1" operator="between">
      <formula>5.1</formula>
      <formula>13</formula>
    </cfRule>
    <cfRule type="cellIs" dxfId="3032" priority="5135" stopIfTrue="1" operator="between">
      <formula>0</formula>
      <formula>5</formula>
    </cfRule>
    <cfRule type="containsBlanks" dxfId="3031" priority="5136" stopIfTrue="1">
      <formula>LEN(TRIM(Q257))=0</formula>
    </cfRule>
  </conditionalFormatting>
  <conditionalFormatting sqref="Q258">
    <cfRule type="containsBlanks" dxfId="3030" priority="5123" stopIfTrue="1">
      <formula>LEN(TRIM(Q258))=0</formula>
    </cfRule>
    <cfRule type="cellIs" dxfId="3029" priority="5124" stopIfTrue="1" operator="between">
      <formula>79.1</formula>
      <formula>100</formula>
    </cfRule>
    <cfRule type="cellIs" dxfId="3028" priority="5125" stopIfTrue="1" operator="between">
      <formula>34.1</formula>
      <formula>79</formula>
    </cfRule>
    <cfRule type="cellIs" dxfId="3027" priority="5126" stopIfTrue="1" operator="between">
      <formula>13.1</formula>
      <formula>34</formula>
    </cfRule>
    <cfRule type="cellIs" dxfId="3026" priority="5127" stopIfTrue="1" operator="between">
      <formula>5.1</formula>
      <formula>13</formula>
    </cfRule>
    <cfRule type="cellIs" dxfId="3025" priority="5128" stopIfTrue="1" operator="between">
      <formula>0</formula>
      <formula>5</formula>
    </cfRule>
    <cfRule type="containsBlanks" dxfId="3024" priority="5129" stopIfTrue="1">
      <formula>LEN(TRIM(Q258))=0</formula>
    </cfRule>
  </conditionalFormatting>
  <conditionalFormatting sqref="Q259">
    <cfRule type="containsBlanks" dxfId="3023" priority="5116" stopIfTrue="1">
      <formula>LEN(TRIM(Q259))=0</formula>
    </cfRule>
    <cfRule type="cellIs" dxfId="3022" priority="5117" stopIfTrue="1" operator="between">
      <formula>79.1</formula>
      <formula>100</formula>
    </cfRule>
    <cfRule type="cellIs" dxfId="3021" priority="5118" stopIfTrue="1" operator="between">
      <formula>34.1</formula>
      <formula>79</formula>
    </cfRule>
    <cfRule type="cellIs" dxfId="3020" priority="5119" stopIfTrue="1" operator="between">
      <formula>13.1</formula>
      <formula>34</formula>
    </cfRule>
    <cfRule type="cellIs" dxfId="3019" priority="5120" stopIfTrue="1" operator="between">
      <formula>5.1</formula>
      <formula>13</formula>
    </cfRule>
    <cfRule type="cellIs" dxfId="3018" priority="5121" stopIfTrue="1" operator="between">
      <formula>0</formula>
      <formula>5</formula>
    </cfRule>
    <cfRule type="containsBlanks" dxfId="3017" priority="5122" stopIfTrue="1">
      <formula>LEN(TRIM(Q259))=0</formula>
    </cfRule>
  </conditionalFormatting>
  <conditionalFormatting sqref="Q260">
    <cfRule type="containsBlanks" dxfId="3016" priority="5109" stopIfTrue="1">
      <formula>LEN(TRIM(Q260))=0</formula>
    </cfRule>
    <cfRule type="cellIs" dxfId="3015" priority="5110" stopIfTrue="1" operator="between">
      <formula>79.1</formula>
      <formula>100</formula>
    </cfRule>
    <cfRule type="cellIs" dxfId="3014" priority="5111" stopIfTrue="1" operator="between">
      <formula>34.1</formula>
      <formula>79</formula>
    </cfRule>
    <cfRule type="cellIs" dxfId="3013" priority="5112" stopIfTrue="1" operator="between">
      <formula>13.1</formula>
      <formula>34</formula>
    </cfRule>
    <cfRule type="cellIs" dxfId="3012" priority="5113" stopIfTrue="1" operator="between">
      <formula>5.1</formula>
      <formula>13</formula>
    </cfRule>
    <cfRule type="cellIs" dxfId="3011" priority="5114" stopIfTrue="1" operator="between">
      <formula>0</formula>
      <formula>5</formula>
    </cfRule>
    <cfRule type="containsBlanks" dxfId="3010" priority="5115" stopIfTrue="1">
      <formula>LEN(TRIM(Q260))=0</formula>
    </cfRule>
  </conditionalFormatting>
  <conditionalFormatting sqref="E272:Q272">
    <cfRule type="containsBlanks" dxfId="3009" priority="5102" stopIfTrue="1">
      <formula>LEN(TRIM(E272))=0</formula>
    </cfRule>
    <cfRule type="cellIs" dxfId="3008" priority="5103" stopIfTrue="1" operator="between">
      <formula>79.1</formula>
      <formula>100</formula>
    </cfRule>
    <cfRule type="cellIs" dxfId="3007" priority="5104" stopIfTrue="1" operator="between">
      <formula>34.1</formula>
      <formula>79</formula>
    </cfRule>
    <cfRule type="cellIs" dxfId="3006" priority="5105" stopIfTrue="1" operator="between">
      <formula>13.1</formula>
      <formula>34</formula>
    </cfRule>
    <cfRule type="cellIs" dxfId="3005" priority="5106" stopIfTrue="1" operator="between">
      <formula>5.1</formula>
      <formula>13</formula>
    </cfRule>
    <cfRule type="cellIs" dxfId="3004" priority="5107" stopIfTrue="1" operator="between">
      <formula>0</formula>
      <formula>5</formula>
    </cfRule>
    <cfRule type="containsBlanks" dxfId="3003" priority="5108" stopIfTrue="1">
      <formula>LEN(TRIM(E272))=0</formula>
    </cfRule>
  </conditionalFormatting>
  <conditionalFormatting sqref="Q245">
    <cfRule type="containsBlanks" dxfId="3002" priority="5074" stopIfTrue="1">
      <formula>LEN(TRIM(Q245))=0</formula>
    </cfRule>
    <cfRule type="cellIs" dxfId="3001" priority="5075" stopIfTrue="1" operator="between">
      <formula>79.1</formula>
      <formula>100</formula>
    </cfRule>
    <cfRule type="cellIs" dxfId="3000" priority="5076" stopIfTrue="1" operator="between">
      <formula>34.1</formula>
      <formula>79</formula>
    </cfRule>
    <cfRule type="cellIs" dxfId="2999" priority="5077" stopIfTrue="1" operator="between">
      <formula>13.1</formula>
      <formula>34</formula>
    </cfRule>
    <cfRule type="cellIs" dxfId="2998" priority="5078" stopIfTrue="1" operator="between">
      <formula>5.1</formula>
      <formula>13</formula>
    </cfRule>
    <cfRule type="cellIs" dxfId="2997" priority="5079" stopIfTrue="1" operator="between">
      <formula>0</formula>
      <formula>5</formula>
    </cfRule>
    <cfRule type="containsBlanks" dxfId="2996" priority="5080" stopIfTrue="1">
      <formula>LEN(TRIM(Q245))=0</formula>
    </cfRule>
  </conditionalFormatting>
  <conditionalFormatting sqref="E279:Q280">
    <cfRule type="containsBlanks" dxfId="2995" priority="4975" stopIfTrue="1">
      <formula>LEN(TRIM(E279))=0</formula>
    </cfRule>
    <cfRule type="cellIs" dxfId="2994" priority="4976" stopIfTrue="1" operator="between">
      <formula>79.1</formula>
      <formula>100</formula>
    </cfRule>
    <cfRule type="cellIs" dxfId="2993" priority="4977" stopIfTrue="1" operator="between">
      <formula>34.1</formula>
      <formula>79</formula>
    </cfRule>
    <cfRule type="cellIs" dxfId="2992" priority="4978" stopIfTrue="1" operator="between">
      <formula>13.1</formula>
      <formula>34</formula>
    </cfRule>
    <cfRule type="cellIs" dxfId="2991" priority="4979" stopIfTrue="1" operator="between">
      <formula>5.1</formula>
      <formula>13</formula>
    </cfRule>
    <cfRule type="cellIs" dxfId="2990" priority="4980" stopIfTrue="1" operator="between">
      <formula>0</formula>
      <formula>5</formula>
    </cfRule>
    <cfRule type="containsBlanks" dxfId="2989" priority="4981" stopIfTrue="1">
      <formula>LEN(TRIM(E279))=0</formula>
    </cfRule>
  </conditionalFormatting>
  <conditionalFormatting sqref="E238:I238">
    <cfRule type="containsBlanks" dxfId="2988" priority="5095" stopIfTrue="1">
      <formula>LEN(TRIM(E238))=0</formula>
    </cfRule>
    <cfRule type="cellIs" dxfId="2987" priority="5096" stopIfTrue="1" operator="between">
      <formula>79.1</formula>
      <formula>100</formula>
    </cfRule>
    <cfRule type="cellIs" dxfId="2986" priority="5097" stopIfTrue="1" operator="between">
      <formula>34.1</formula>
      <formula>79</formula>
    </cfRule>
    <cfRule type="cellIs" dxfId="2985" priority="5098" stopIfTrue="1" operator="between">
      <formula>13.1</formula>
      <formula>34</formula>
    </cfRule>
    <cfRule type="cellIs" dxfId="2984" priority="5099" stopIfTrue="1" operator="between">
      <formula>5.1</formula>
      <formula>13</formula>
    </cfRule>
    <cfRule type="cellIs" dxfId="2983" priority="5100" stopIfTrue="1" operator="between">
      <formula>0</formula>
      <formula>5</formula>
    </cfRule>
    <cfRule type="containsBlanks" dxfId="2982" priority="5101" stopIfTrue="1">
      <formula>LEN(TRIM(E238))=0</formula>
    </cfRule>
  </conditionalFormatting>
  <conditionalFormatting sqref="J238:Q238">
    <cfRule type="containsBlanks" dxfId="2981" priority="5088" stopIfTrue="1">
      <formula>LEN(TRIM(J238))=0</formula>
    </cfRule>
    <cfRule type="cellIs" dxfId="2980" priority="5089" stopIfTrue="1" operator="between">
      <formula>79.1</formula>
      <formula>100</formula>
    </cfRule>
    <cfRule type="cellIs" dxfId="2979" priority="5090" stopIfTrue="1" operator="between">
      <formula>34.1</formula>
      <formula>79</formula>
    </cfRule>
    <cfRule type="cellIs" dxfId="2978" priority="5091" stopIfTrue="1" operator="between">
      <formula>13.1</formula>
      <formula>34</formula>
    </cfRule>
    <cfRule type="cellIs" dxfId="2977" priority="5092" stopIfTrue="1" operator="between">
      <formula>5.1</formula>
      <formula>13</formula>
    </cfRule>
    <cfRule type="cellIs" dxfId="2976" priority="5093" stopIfTrue="1" operator="between">
      <formula>0</formula>
      <formula>5</formula>
    </cfRule>
    <cfRule type="containsBlanks" dxfId="2975" priority="5094" stopIfTrue="1">
      <formula>LEN(TRIM(J238))=0</formula>
    </cfRule>
  </conditionalFormatting>
  <conditionalFormatting sqref="Q242">
    <cfRule type="containsBlanks" dxfId="2974" priority="5081" stopIfTrue="1">
      <formula>LEN(TRIM(Q242))=0</formula>
    </cfRule>
    <cfRule type="cellIs" dxfId="2973" priority="5082" stopIfTrue="1" operator="between">
      <formula>79.1</formula>
      <formula>100</formula>
    </cfRule>
    <cfRule type="cellIs" dxfId="2972" priority="5083" stopIfTrue="1" operator="between">
      <formula>34.1</formula>
      <formula>79</formula>
    </cfRule>
    <cfRule type="cellIs" dxfId="2971" priority="5084" stopIfTrue="1" operator="between">
      <formula>13.1</formula>
      <formula>34</formula>
    </cfRule>
    <cfRule type="cellIs" dxfId="2970" priority="5085" stopIfTrue="1" operator="between">
      <formula>5.1</formula>
      <formula>13</formula>
    </cfRule>
    <cfRule type="cellIs" dxfId="2969" priority="5086" stopIfTrue="1" operator="between">
      <formula>0</formula>
      <formula>5</formula>
    </cfRule>
    <cfRule type="containsBlanks" dxfId="2968" priority="5087" stopIfTrue="1">
      <formula>LEN(TRIM(Q242))=0</formula>
    </cfRule>
  </conditionalFormatting>
  <conditionalFormatting sqref="R277">
    <cfRule type="cellIs" dxfId="2967" priority="5072" stopIfTrue="1" operator="equal">
      <formula>"NO"</formula>
    </cfRule>
  </conditionalFormatting>
  <conditionalFormatting sqref="E277:Q277">
    <cfRule type="containsBlanks" dxfId="2966" priority="5038" stopIfTrue="1">
      <formula>LEN(TRIM(E277))=0</formula>
    </cfRule>
    <cfRule type="cellIs" dxfId="2965" priority="5039" stopIfTrue="1" operator="between">
      <formula>79.1</formula>
      <formula>100</formula>
    </cfRule>
    <cfRule type="cellIs" dxfId="2964" priority="5040" stopIfTrue="1" operator="between">
      <formula>34.1</formula>
      <formula>79</formula>
    </cfRule>
    <cfRule type="cellIs" dxfId="2963" priority="5041" stopIfTrue="1" operator="between">
      <formula>13.1</formula>
      <formula>34</formula>
    </cfRule>
    <cfRule type="cellIs" dxfId="2962" priority="5042" stopIfTrue="1" operator="between">
      <formula>5.1</formula>
      <formula>13</formula>
    </cfRule>
    <cfRule type="cellIs" dxfId="2961" priority="5043" stopIfTrue="1" operator="between">
      <formula>0</formula>
      <formula>5</formula>
    </cfRule>
    <cfRule type="containsBlanks" dxfId="2960" priority="5044" stopIfTrue="1">
      <formula>LEN(TRIM(E277))=0</formula>
    </cfRule>
  </conditionalFormatting>
  <conditionalFormatting sqref="Q256">
    <cfRule type="containsBlanks" dxfId="2959" priority="5024" stopIfTrue="1">
      <formula>LEN(TRIM(Q256))=0</formula>
    </cfRule>
    <cfRule type="cellIs" dxfId="2958" priority="5025" stopIfTrue="1" operator="between">
      <formula>79.1</formula>
      <formula>100</formula>
    </cfRule>
    <cfRule type="cellIs" dxfId="2957" priority="5026" stopIfTrue="1" operator="between">
      <formula>34.1</formula>
      <formula>79</formula>
    </cfRule>
    <cfRule type="cellIs" dxfId="2956" priority="5027" stopIfTrue="1" operator="between">
      <formula>13.1</formula>
      <formula>34</formula>
    </cfRule>
    <cfRule type="cellIs" dxfId="2955" priority="5028" stopIfTrue="1" operator="between">
      <formula>5.1</formula>
      <formula>13</formula>
    </cfRule>
    <cfRule type="cellIs" dxfId="2954" priority="5029" stopIfTrue="1" operator="between">
      <formula>0</formula>
      <formula>5</formula>
    </cfRule>
    <cfRule type="containsBlanks" dxfId="2953" priority="5030" stopIfTrue="1">
      <formula>LEN(TRIM(Q256))=0</formula>
    </cfRule>
  </conditionalFormatting>
  <conditionalFormatting sqref="E261:Q261">
    <cfRule type="containsBlanks" dxfId="2952" priority="5017" stopIfTrue="1">
      <formula>LEN(TRIM(E261))=0</formula>
    </cfRule>
    <cfRule type="cellIs" dxfId="2951" priority="5018" stopIfTrue="1" operator="between">
      <formula>79.1</formula>
      <formula>100</formula>
    </cfRule>
    <cfRule type="cellIs" dxfId="2950" priority="5019" stopIfTrue="1" operator="between">
      <formula>34.1</formula>
      <formula>79</formula>
    </cfRule>
    <cfRule type="cellIs" dxfId="2949" priority="5020" stopIfTrue="1" operator="between">
      <formula>13.1</formula>
      <formula>34</formula>
    </cfRule>
    <cfRule type="cellIs" dxfId="2948" priority="5021" stopIfTrue="1" operator="between">
      <formula>5.1</formula>
      <formula>13</formula>
    </cfRule>
    <cfRule type="cellIs" dxfId="2947" priority="5022" stopIfTrue="1" operator="between">
      <formula>0</formula>
      <formula>5</formula>
    </cfRule>
    <cfRule type="containsBlanks" dxfId="2946" priority="5023" stopIfTrue="1">
      <formula>LEN(TRIM(E261))=0</formula>
    </cfRule>
  </conditionalFormatting>
  <conditionalFormatting sqref="Q262">
    <cfRule type="containsBlanks" dxfId="2945" priority="5010" stopIfTrue="1">
      <formula>LEN(TRIM(Q262))=0</formula>
    </cfRule>
    <cfRule type="cellIs" dxfId="2944" priority="5011" stopIfTrue="1" operator="between">
      <formula>79.1</formula>
      <formula>100</formula>
    </cfRule>
    <cfRule type="cellIs" dxfId="2943" priority="5012" stopIfTrue="1" operator="between">
      <formula>34.1</formula>
      <formula>79</formula>
    </cfRule>
    <cfRule type="cellIs" dxfId="2942" priority="5013" stopIfTrue="1" operator="between">
      <formula>13.1</formula>
      <formula>34</formula>
    </cfRule>
    <cfRule type="cellIs" dxfId="2941" priority="5014" stopIfTrue="1" operator="between">
      <formula>5.1</formula>
      <formula>13</formula>
    </cfRule>
    <cfRule type="cellIs" dxfId="2940" priority="5015" stopIfTrue="1" operator="between">
      <formula>0</formula>
      <formula>5</formula>
    </cfRule>
    <cfRule type="containsBlanks" dxfId="2939" priority="5016" stopIfTrue="1">
      <formula>LEN(TRIM(Q262))=0</formula>
    </cfRule>
  </conditionalFormatting>
  <conditionalFormatting sqref="Q263">
    <cfRule type="containsBlanks" dxfId="2938" priority="5003" stopIfTrue="1">
      <formula>LEN(TRIM(Q263))=0</formula>
    </cfRule>
    <cfRule type="cellIs" dxfId="2937" priority="5004" stopIfTrue="1" operator="between">
      <formula>79.1</formula>
      <formula>100</formula>
    </cfRule>
    <cfRule type="cellIs" dxfId="2936" priority="5005" stopIfTrue="1" operator="between">
      <formula>34.1</formula>
      <formula>79</formula>
    </cfRule>
    <cfRule type="cellIs" dxfId="2935" priority="5006" stopIfTrue="1" operator="between">
      <formula>13.1</formula>
      <formula>34</formula>
    </cfRule>
    <cfRule type="cellIs" dxfId="2934" priority="5007" stopIfTrue="1" operator="between">
      <formula>5.1</formula>
      <formula>13</formula>
    </cfRule>
    <cfRule type="cellIs" dxfId="2933" priority="5008" stopIfTrue="1" operator="between">
      <formula>0</formula>
      <formula>5</formula>
    </cfRule>
    <cfRule type="containsBlanks" dxfId="2932" priority="5009" stopIfTrue="1">
      <formula>LEN(TRIM(Q263))=0</formula>
    </cfRule>
  </conditionalFormatting>
  <conditionalFormatting sqref="E270:Q270">
    <cfRule type="containsBlanks" dxfId="2931" priority="4996" stopIfTrue="1">
      <formula>LEN(TRIM(E270))=0</formula>
    </cfRule>
    <cfRule type="cellIs" dxfId="2930" priority="4997" stopIfTrue="1" operator="between">
      <formula>79.1</formula>
      <formula>100</formula>
    </cfRule>
    <cfRule type="cellIs" dxfId="2929" priority="4998" stopIfTrue="1" operator="between">
      <formula>34.1</formula>
      <formula>79</formula>
    </cfRule>
    <cfRule type="cellIs" dxfId="2928" priority="4999" stopIfTrue="1" operator="between">
      <formula>13.1</formula>
      <formula>34</formula>
    </cfRule>
    <cfRule type="cellIs" dxfId="2927" priority="5000" stopIfTrue="1" operator="between">
      <formula>5.1</formula>
      <formula>13</formula>
    </cfRule>
    <cfRule type="cellIs" dxfId="2926" priority="5001" stopIfTrue="1" operator="between">
      <formula>0</formula>
      <formula>5</formula>
    </cfRule>
    <cfRule type="containsBlanks" dxfId="2925" priority="5002" stopIfTrue="1">
      <formula>LEN(TRIM(E270))=0</formula>
    </cfRule>
  </conditionalFormatting>
  <conditionalFormatting sqref="E271:Q271">
    <cfRule type="containsBlanks" dxfId="2924" priority="4989" stopIfTrue="1">
      <formula>LEN(TRIM(E271))=0</formula>
    </cfRule>
    <cfRule type="cellIs" dxfId="2923" priority="4990" stopIfTrue="1" operator="between">
      <formula>79.1</formula>
      <formula>100</formula>
    </cfRule>
    <cfRule type="cellIs" dxfId="2922" priority="4991" stopIfTrue="1" operator="between">
      <formula>34.1</formula>
      <formula>79</formula>
    </cfRule>
    <cfRule type="cellIs" dxfId="2921" priority="4992" stopIfTrue="1" operator="between">
      <formula>13.1</formula>
      <formula>34</formula>
    </cfRule>
    <cfRule type="cellIs" dxfId="2920" priority="4993" stopIfTrue="1" operator="between">
      <formula>5.1</formula>
      <formula>13</formula>
    </cfRule>
    <cfRule type="cellIs" dxfId="2919" priority="4994" stopIfTrue="1" operator="between">
      <formula>0</formula>
      <formula>5</formula>
    </cfRule>
    <cfRule type="containsBlanks" dxfId="2918" priority="4995" stopIfTrue="1">
      <formula>LEN(TRIM(E271))=0</formula>
    </cfRule>
  </conditionalFormatting>
  <conditionalFormatting sqref="E296:Q296">
    <cfRule type="containsBlanks" dxfId="2917" priority="4939" stopIfTrue="1">
      <formula>LEN(TRIM(E296))=0</formula>
    </cfRule>
    <cfRule type="cellIs" dxfId="2916" priority="4940" stopIfTrue="1" operator="between">
      <formula>80.1</formula>
      <formula>100</formula>
    </cfRule>
    <cfRule type="cellIs" dxfId="2915" priority="4941" stopIfTrue="1" operator="between">
      <formula>35.1</formula>
      <formula>80</formula>
    </cfRule>
    <cfRule type="cellIs" dxfId="2914" priority="4942" stopIfTrue="1" operator="between">
      <formula>14.1</formula>
      <formula>35</formula>
    </cfRule>
    <cfRule type="cellIs" dxfId="2913" priority="4943" stopIfTrue="1" operator="between">
      <formula>5.1</formula>
      <formula>14</formula>
    </cfRule>
    <cfRule type="cellIs" dxfId="2912" priority="4944" stopIfTrue="1" operator="between">
      <formula>0</formula>
      <formula>5</formula>
    </cfRule>
    <cfRule type="containsBlanks" dxfId="2911" priority="4945" stopIfTrue="1">
      <formula>LEN(TRIM(E296))=0</formula>
    </cfRule>
  </conditionalFormatting>
  <conditionalFormatting sqref="E297:Q299">
    <cfRule type="containsBlanks" dxfId="2910" priority="4932" stopIfTrue="1">
      <formula>LEN(TRIM(E297))=0</formula>
    </cfRule>
    <cfRule type="cellIs" dxfId="2909" priority="4933" stopIfTrue="1" operator="between">
      <formula>80.1</formula>
      <formula>100</formula>
    </cfRule>
    <cfRule type="cellIs" dxfId="2908" priority="4934" stopIfTrue="1" operator="between">
      <formula>35.1</formula>
      <formula>80</formula>
    </cfRule>
    <cfRule type="cellIs" dxfId="2907" priority="4935" stopIfTrue="1" operator="between">
      <formula>14.1</formula>
      <formula>35</formula>
    </cfRule>
    <cfRule type="cellIs" dxfId="2906" priority="4936" stopIfTrue="1" operator="between">
      <formula>5.1</formula>
      <formula>14</formula>
    </cfRule>
    <cfRule type="cellIs" dxfId="2905" priority="4937" stopIfTrue="1" operator="between">
      <formula>0</formula>
      <formula>5</formula>
    </cfRule>
    <cfRule type="containsBlanks" dxfId="2904" priority="4938" stopIfTrue="1">
      <formula>LEN(TRIM(E297))=0</formula>
    </cfRule>
  </conditionalFormatting>
  <conditionalFormatting sqref="E303:Q303">
    <cfRule type="containsBlanks" dxfId="2903" priority="4925" stopIfTrue="1">
      <formula>LEN(TRIM(E303))=0</formula>
    </cfRule>
    <cfRule type="cellIs" dxfId="2902" priority="4926" stopIfTrue="1" operator="between">
      <formula>80.1</formula>
      <formula>100</formula>
    </cfRule>
    <cfRule type="cellIs" dxfId="2901" priority="4927" stopIfTrue="1" operator="between">
      <formula>35.1</formula>
      <formula>80</formula>
    </cfRule>
    <cfRule type="cellIs" dxfId="2900" priority="4928" stopIfTrue="1" operator="between">
      <formula>14.1</formula>
      <formula>35</formula>
    </cfRule>
    <cfRule type="cellIs" dxfId="2899" priority="4929" stopIfTrue="1" operator="between">
      <formula>5.1</formula>
      <formula>14</formula>
    </cfRule>
    <cfRule type="cellIs" dxfId="2898" priority="4930" stopIfTrue="1" operator="between">
      <formula>0</formula>
      <formula>5</formula>
    </cfRule>
    <cfRule type="containsBlanks" dxfId="2897" priority="4931" stopIfTrue="1">
      <formula>LEN(TRIM(E303))=0</formula>
    </cfRule>
  </conditionalFormatting>
  <conditionalFormatting sqref="E302:Q302">
    <cfRule type="containsBlanks" dxfId="2896" priority="4918" stopIfTrue="1">
      <formula>LEN(TRIM(E302))=0</formula>
    </cfRule>
    <cfRule type="cellIs" dxfId="2895" priority="4919" stopIfTrue="1" operator="between">
      <formula>80.1</formula>
      <formula>100</formula>
    </cfRule>
    <cfRule type="cellIs" dxfId="2894" priority="4920" stopIfTrue="1" operator="between">
      <formula>35.1</formula>
      <formula>80</formula>
    </cfRule>
    <cfRule type="cellIs" dxfId="2893" priority="4921" stopIfTrue="1" operator="between">
      <formula>14.1</formula>
      <formula>35</formula>
    </cfRule>
    <cfRule type="cellIs" dxfId="2892" priority="4922" stopIfTrue="1" operator="between">
      <formula>5.1</formula>
      <formula>14</formula>
    </cfRule>
    <cfRule type="cellIs" dxfId="2891" priority="4923" stopIfTrue="1" operator="between">
      <formula>0</formula>
      <formula>5</formula>
    </cfRule>
    <cfRule type="containsBlanks" dxfId="2890" priority="4924" stopIfTrue="1">
      <formula>LEN(TRIM(E302))=0</formula>
    </cfRule>
  </conditionalFormatting>
  <conditionalFormatting sqref="E307:Q307">
    <cfRule type="containsBlanks" dxfId="2889" priority="4911" stopIfTrue="1">
      <formula>LEN(TRIM(E307))=0</formula>
    </cfRule>
    <cfRule type="cellIs" dxfId="2888" priority="4912" stopIfTrue="1" operator="between">
      <formula>80.1</formula>
      <formula>100</formula>
    </cfRule>
    <cfRule type="cellIs" dxfId="2887" priority="4913" stopIfTrue="1" operator="between">
      <formula>35.1</formula>
      <formula>80</formula>
    </cfRule>
    <cfRule type="cellIs" dxfId="2886" priority="4914" stopIfTrue="1" operator="between">
      <formula>14.1</formula>
      <formula>35</formula>
    </cfRule>
    <cfRule type="cellIs" dxfId="2885" priority="4915" stopIfTrue="1" operator="between">
      <formula>5.1</formula>
      <formula>14</formula>
    </cfRule>
    <cfRule type="cellIs" dxfId="2884" priority="4916" stopIfTrue="1" operator="between">
      <formula>0</formula>
      <formula>5</formula>
    </cfRule>
    <cfRule type="containsBlanks" dxfId="2883" priority="4917" stopIfTrue="1">
      <formula>LEN(TRIM(E307))=0</formula>
    </cfRule>
  </conditionalFormatting>
  <conditionalFormatting sqref="E308:Q308">
    <cfRule type="containsBlanks" dxfId="2882" priority="4904" stopIfTrue="1">
      <formula>LEN(TRIM(E308))=0</formula>
    </cfRule>
    <cfRule type="cellIs" dxfId="2881" priority="4905" stopIfTrue="1" operator="between">
      <formula>80.1</formula>
      <formula>100</formula>
    </cfRule>
    <cfRule type="cellIs" dxfId="2880" priority="4906" stopIfTrue="1" operator="between">
      <formula>35.1</formula>
      <formula>80</formula>
    </cfRule>
    <cfRule type="cellIs" dxfId="2879" priority="4907" stopIfTrue="1" operator="between">
      <formula>14.1</formula>
      <formula>35</formula>
    </cfRule>
    <cfRule type="cellIs" dxfId="2878" priority="4908" stopIfTrue="1" operator="between">
      <formula>5.1</formula>
      <formula>14</formula>
    </cfRule>
    <cfRule type="cellIs" dxfId="2877" priority="4909" stopIfTrue="1" operator="between">
      <formula>0</formula>
      <formula>5</formula>
    </cfRule>
    <cfRule type="containsBlanks" dxfId="2876" priority="4910" stopIfTrue="1">
      <formula>LEN(TRIM(E308))=0</formula>
    </cfRule>
  </conditionalFormatting>
  <conditionalFormatting sqref="E309:Q309">
    <cfRule type="containsBlanks" dxfId="2875" priority="4897" stopIfTrue="1">
      <formula>LEN(TRIM(E309))=0</formula>
    </cfRule>
    <cfRule type="cellIs" dxfId="2874" priority="4898" stopIfTrue="1" operator="between">
      <formula>80.1</formula>
      <formula>100</formula>
    </cfRule>
    <cfRule type="cellIs" dxfId="2873" priority="4899" stopIfTrue="1" operator="between">
      <formula>35.1</formula>
      <formula>80</formula>
    </cfRule>
    <cfRule type="cellIs" dxfId="2872" priority="4900" stopIfTrue="1" operator="between">
      <formula>14.1</formula>
      <formula>35</formula>
    </cfRule>
    <cfRule type="cellIs" dxfId="2871" priority="4901" stopIfTrue="1" operator="between">
      <formula>5.1</formula>
      <formula>14</formula>
    </cfRule>
    <cfRule type="cellIs" dxfId="2870" priority="4902" stopIfTrue="1" operator="between">
      <formula>0</formula>
      <formula>5</formula>
    </cfRule>
    <cfRule type="containsBlanks" dxfId="2869" priority="4903" stopIfTrue="1">
      <formula>LEN(TRIM(E309))=0</formula>
    </cfRule>
  </conditionalFormatting>
  <conditionalFormatting sqref="E310:Q310">
    <cfRule type="containsBlanks" dxfId="2868" priority="4890" stopIfTrue="1">
      <formula>LEN(TRIM(E310))=0</formula>
    </cfRule>
    <cfRule type="cellIs" dxfId="2867" priority="4891" stopIfTrue="1" operator="between">
      <formula>80.1</formula>
      <formula>100</formula>
    </cfRule>
    <cfRule type="cellIs" dxfId="2866" priority="4892" stopIfTrue="1" operator="between">
      <formula>35.1</formula>
      <formula>80</formula>
    </cfRule>
    <cfRule type="cellIs" dxfId="2865" priority="4893" stopIfTrue="1" operator="between">
      <formula>14.1</formula>
      <formula>35</formula>
    </cfRule>
    <cfRule type="cellIs" dxfId="2864" priority="4894" stopIfTrue="1" operator="between">
      <formula>5.1</formula>
      <formula>14</formula>
    </cfRule>
    <cfRule type="cellIs" dxfId="2863" priority="4895" stopIfTrue="1" operator="between">
      <formula>0</formula>
      <formula>5</formula>
    </cfRule>
    <cfRule type="containsBlanks" dxfId="2862" priority="4896" stopIfTrue="1">
      <formula>LEN(TRIM(E310))=0</formula>
    </cfRule>
  </conditionalFormatting>
  <conditionalFormatting sqref="E300:Q300">
    <cfRule type="containsBlanks" dxfId="2861" priority="4883" stopIfTrue="1">
      <formula>LEN(TRIM(E300))=0</formula>
    </cfRule>
    <cfRule type="cellIs" dxfId="2860" priority="4884" stopIfTrue="1" operator="between">
      <formula>80.1</formula>
      <formula>100</formula>
    </cfRule>
    <cfRule type="cellIs" dxfId="2859" priority="4885" stopIfTrue="1" operator="between">
      <formula>35.1</formula>
      <formula>80</formula>
    </cfRule>
    <cfRule type="cellIs" dxfId="2858" priority="4886" stopIfTrue="1" operator="between">
      <formula>14.1</formula>
      <formula>35</formula>
    </cfRule>
    <cfRule type="cellIs" dxfId="2857" priority="4887" stopIfTrue="1" operator="between">
      <formula>5.1</formula>
      <formula>14</formula>
    </cfRule>
    <cfRule type="cellIs" dxfId="2856" priority="4888" stopIfTrue="1" operator="between">
      <formula>0</formula>
      <formula>5</formula>
    </cfRule>
    <cfRule type="containsBlanks" dxfId="2855" priority="4889" stopIfTrue="1">
      <formula>LEN(TRIM(E300))=0</formula>
    </cfRule>
  </conditionalFormatting>
  <conditionalFormatting sqref="E311:P315">
    <cfRule type="containsBlanks" dxfId="2854" priority="4848" stopIfTrue="1">
      <formula>LEN(TRIM(E311))=0</formula>
    </cfRule>
    <cfRule type="cellIs" dxfId="2853" priority="4849" stopIfTrue="1" operator="between">
      <formula>79.1</formula>
      <formula>100</formula>
    </cfRule>
    <cfRule type="cellIs" dxfId="2852" priority="4850" stopIfTrue="1" operator="between">
      <formula>34.1</formula>
      <formula>79</formula>
    </cfRule>
    <cfRule type="cellIs" dxfId="2851" priority="4851" stopIfTrue="1" operator="between">
      <formula>13.1</formula>
      <formula>34</formula>
    </cfRule>
    <cfRule type="cellIs" dxfId="2850" priority="4852" stopIfTrue="1" operator="between">
      <formula>5.1</formula>
      <formula>13</formula>
    </cfRule>
    <cfRule type="cellIs" dxfId="2849" priority="4853" stopIfTrue="1" operator="between">
      <formula>0</formula>
      <formula>5</formula>
    </cfRule>
    <cfRule type="containsBlanks" dxfId="2848" priority="4854" stopIfTrue="1">
      <formula>LEN(TRIM(E311))=0</formula>
    </cfRule>
  </conditionalFormatting>
  <conditionalFormatting sqref="E317:P317">
    <cfRule type="containsBlanks" dxfId="2847" priority="4841" stopIfTrue="1">
      <formula>LEN(TRIM(E317))=0</formula>
    </cfRule>
    <cfRule type="cellIs" dxfId="2846" priority="4842" stopIfTrue="1" operator="between">
      <formula>79.1</formula>
      <formula>100</formula>
    </cfRule>
    <cfRule type="cellIs" dxfId="2845" priority="4843" stopIfTrue="1" operator="between">
      <formula>34.1</formula>
      <formula>79</formula>
    </cfRule>
    <cfRule type="cellIs" dxfId="2844" priority="4844" stopIfTrue="1" operator="between">
      <formula>13.1</formula>
      <formula>34</formula>
    </cfRule>
    <cfRule type="cellIs" dxfId="2843" priority="4845" stopIfTrue="1" operator="between">
      <formula>5.1</formula>
      <formula>13</formula>
    </cfRule>
    <cfRule type="cellIs" dxfId="2842" priority="4846" stopIfTrue="1" operator="between">
      <formula>0</formula>
      <formula>5</formula>
    </cfRule>
    <cfRule type="containsBlanks" dxfId="2841" priority="4847" stopIfTrue="1">
      <formula>LEN(TRIM(E317))=0</formula>
    </cfRule>
  </conditionalFormatting>
  <conditionalFormatting sqref="E316:P316">
    <cfRule type="containsBlanks" dxfId="2840" priority="4834" stopIfTrue="1">
      <formula>LEN(TRIM(E316))=0</formula>
    </cfRule>
    <cfRule type="cellIs" dxfId="2839" priority="4835" stopIfTrue="1" operator="between">
      <formula>79.1</formula>
      <formula>100</formula>
    </cfRule>
    <cfRule type="cellIs" dxfId="2838" priority="4836" stopIfTrue="1" operator="between">
      <formula>34.1</formula>
      <formula>79</formula>
    </cfRule>
    <cfRule type="cellIs" dxfId="2837" priority="4837" stopIfTrue="1" operator="between">
      <formula>13.1</formula>
      <formula>34</formula>
    </cfRule>
    <cfRule type="cellIs" dxfId="2836" priority="4838" stopIfTrue="1" operator="between">
      <formula>5.1</formula>
      <formula>13</formula>
    </cfRule>
    <cfRule type="cellIs" dxfId="2835" priority="4839" stopIfTrue="1" operator="between">
      <formula>0</formula>
      <formula>5</formula>
    </cfRule>
    <cfRule type="containsBlanks" dxfId="2834" priority="4840" stopIfTrue="1">
      <formula>LEN(TRIM(E316))=0</formula>
    </cfRule>
  </conditionalFormatting>
  <conditionalFormatting sqref="E318:P318">
    <cfRule type="containsBlanks" dxfId="2833" priority="4827" stopIfTrue="1">
      <formula>LEN(TRIM(E318))=0</formula>
    </cfRule>
    <cfRule type="cellIs" dxfId="2832" priority="4828" stopIfTrue="1" operator="between">
      <formula>79.1</formula>
      <formula>100</formula>
    </cfRule>
    <cfRule type="cellIs" dxfId="2831" priority="4829" stopIfTrue="1" operator="between">
      <formula>34.1</formula>
      <formula>79</formula>
    </cfRule>
    <cfRule type="cellIs" dxfId="2830" priority="4830" stopIfTrue="1" operator="between">
      <formula>13.1</formula>
      <formula>34</formula>
    </cfRule>
    <cfRule type="cellIs" dxfId="2829" priority="4831" stopIfTrue="1" operator="between">
      <formula>5.1</formula>
      <formula>13</formula>
    </cfRule>
    <cfRule type="cellIs" dxfId="2828" priority="4832" stopIfTrue="1" operator="between">
      <formula>0</formula>
      <formula>5</formula>
    </cfRule>
    <cfRule type="containsBlanks" dxfId="2827" priority="4833" stopIfTrue="1">
      <formula>LEN(TRIM(E318))=0</formula>
    </cfRule>
  </conditionalFormatting>
  <conditionalFormatting sqref="E324:Q324">
    <cfRule type="containsBlanks" dxfId="2826" priority="4813" stopIfTrue="1">
      <formula>LEN(TRIM(E324))=0</formula>
    </cfRule>
    <cfRule type="cellIs" dxfId="2825" priority="4814" stopIfTrue="1" operator="between">
      <formula>80.1</formula>
      <formula>100</formula>
    </cfRule>
    <cfRule type="cellIs" dxfId="2824" priority="4815" stopIfTrue="1" operator="between">
      <formula>35.1</formula>
      <formula>80</formula>
    </cfRule>
    <cfRule type="cellIs" dxfId="2823" priority="4816" stopIfTrue="1" operator="between">
      <formula>14.1</formula>
      <formula>35</formula>
    </cfRule>
    <cfRule type="cellIs" dxfId="2822" priority="4817" stopIfTrue="1" operator="between">
      <formula>5.1</formula>
      <formula>14</formula>
    </cfRule>
    <cfRule type="cellIs" dxfId="2821" priority="4818" stopIfTrue="1" operator="between">
      <formula>0</formula>
      <formula>5</formula>
    </cfRule>
    <cfRule type="containsBlanks" dxfId="2820" priority="4819" stopIfTrue="1">
      <formula>LEN(TRIM(E324))=0</formula>
    </cfRule>
  </conditionalFormatting>
  <conditionalFormatting sqref="E334:Q334 E330:Q330 Q329 Q331 E336:Q336 Q335 Q337:Q338">
    <cfRule type="containsBlanks" dxfId="2819" priority="4792" stopIfTrue="1">
      <formula>LEN(TRIM(E329))=0</formula>
    </cfRule>
    <cfRule type="cellIs" dxfId="2818" priority="4793" stopIfTrue="1" operator="between">
      <formula>80.1</formula>
      <formula>100</formula>
    </cfRule>
    <cfRule type="cellIs" dxfId="2817" priority="4794" stopIfTrue="1" operator="between">
      <formula>35.1</formula>
      <formula>80</formula>
    </cfRule>
    <cfRule type="cellIs" dxfId="2816" priority="4795" stopIfTrue="1" operator="between">
      <formula>14.1</formula>
      <formula>35</formula>
    </cfRule>
    <cfRule type="cellIs" dxfId="2815" priority="4796" stopIfTrue="1" operator="between">
      <formula>5.1</formula>
      <formula>14</formula>
    </cfRule>
    <cfRule type="cellIs" dxfId="2814" priority="4797" stopIfTrue="1" operator="between">
      <formula>0</formula>
      <formula>5</formula>
    </cfRule>
    <cfRule type="containsBlanks" dxfId="2813" priority="4798" stopIfTrue="1">
      <formula>LEN(TRIM(E329))=0</formula>
    </cfRule>
  </conditionalFormatting>
  <conditionalFormatting sqref="Q339:Q345">
    <cfRule type="containsBlanks" dxfId="2812" priority="4785" stopIfTrue="1">
      <formula>LEN(TRIM(Q339))=0</formula>
    </cfRule>
    <cfRule type="cellIs" dxfId="2811" priority="4786" stopIfTrue="1" operator="between">
      <formula>80.1</formula>
      <formula>100</formula>
    </cfRule>
    <cfRule type="cellIs" dxfId="2810" priority="4787" stopIfTrue="1" operator="between">
      <formula>35.1</formula>
      <formula>80</formula>
    </cfRule>
    <cfRule type="cellIs" dxfId="2809" priority="4788" stopIfTrue="1" operator="between">
      <formula>14.1</formula>
      <formula>35</formula>
    </cfRule>
    <cfRule type="cellIs" dxfId="2808" priority="4789" stopIfTrue="1" operator="between">
      <formula>5.1</formula>
      <formula>14</formula>
    </cfRule>
    <cfRule type="cellIs" dxfId="2807" priority="4790" stopIfTrue="1" operator="between">
      <formula>0</formula>
      <formula>5</formula>
    </cfRule>
    <cfRule type="containsBlanks" dxfId="2806" priority="4791" stopIfTrue="1">
      <formula>LEN(TRIM(Q339))=0</formula>
    </cfRule>
  </conditionalFormatting>
  <conditionalFormatting sqref="Q346">
    <cfRule type="containsBlanks" dxfId="2805" priority="4778" stopIfTrue="1">
      <formula>LEN(TRIM(Q346))=0</formula>
    </cfRule>
    <cfRule type="cellIs" dxfId="2804" priority="4779" stopIfTrue="1" operator="between">
      <formula>80.1</formula>
      <formula>100</formula>
    </cfRule>
    <cfRule type="cellIs" dxfId="2803" priority="4780" stopIfTrue="1" operator="between">
      <formula>35.1</formula>
      <formula>80</formula>
    </cfRule>
    <cfRule type="cellIs" dxfId="2802" priority="4781" stopIfTrue="1" operator="between">
      <formula>14.1</formula>
      <formula>35</formula>
    </cfRule>
    <cfRule type="cellIs" dxfId="2801" priority="4782" stopIfTrue="1" operator="between">
      <formula>5.1</formula>
      <formula>14</formula>
    </cfRule>
    <cfRule type="cellIs" dxfId="2800" priority="4783" stopIfTrue="1" operator="between">
      <formula>0</formula>
      <formula>5</formula>
    </cfRule>
    <cfRule type="containsBlanks" dxfId="2799" priority="4784" stopIfTrue="1">
      <formula>LEN(TRIM(Q346))=0</formula>
    </cfRule>
  </conditionalFormatting>
  <conditionalFormatting sqref="E347:Q347 Q349:Q352">
    <cfRule type="containsBlanks" dxfId="2798" priority="4771" stopIfTrue="1">
      <formula>LEN(TRIM(E347))=0</formula>
    </cfRule>
    <cfRule type="cellIs" dxfId="2797" priority="4772" stopIfTrue="1" operator="between">
      <formula>80.1</formula>
      <formula>100</formula>
    </cfRule>
    <cfRule type="cellIs" dxfId="2796" priority="4773" stopIfTrue="1" operator="between">
      <formula>35.1</formula>
      <formula>80</formula>
    </cfRule>
    <cfRule type="cellIs" dxfId="2795" priority="4774" stopIfTrue="1" operator="between">
      <formula>14.1</formula>
      <formula>35</formula>
    </cfRule>
    <cfRule type="cellIs" dxfId="2794" priority="4775" stopIfTrue="1" operator="between">
      <formula>5.1</formula>
      <formula>14</formula>
    </cfRule>
    <cfRule type="cellIs" dxfId="2793" priority="4776" stopIfTrue="1" operator="between">
      <formula>0</formula>
      <formula>5</formula>
    </cfRule>
    <cfRule type="containsBlanks" dxfId="2792" priority="4777" stopIfTrue="1">
      <formula>LEN(TRIM(E347))=0</formula>
    </cfRule>
  </conditionalFormatting>
  <conditionalFormatting sqref="Q365">
    <cfRule type="containsBlanks" dxfId="2791" priority="4687" stopIfTrue="1">
      <formula>LEN(TRIM(Q365))=0</formula>
    </cfRule>
    <cfRule type="cellIs" dxfId="2790" priority="4688" stopIfTrue="1" operator="between">
      <formula>80.1</formula>
      <formula>100</formula>
    </cfRule>
    <cfRule type="cellIs" dxfId="2789" priority="4689" stopIfTrue="1" operator="between">
      <formula>35.1</formula>
      <formula>80</formula>
    </cfRule>
    <cfRule type="cellIs" dxfId="2788" priority="4690" stopIfTrue="1" operator="between">
      <formula>14.1</formula>
      <formula>35</formula>
    </cfRule>
    <cfRule type="cellIs" dxfId="2787" priority="4691" stopIfTrue="1" operator="between">
      <formula>5.1</formula>
      <formula>14</formula>
    </cfRule>
    <cfRule type="cellIs" dxfId="2786" priority="4692" stopIfTrue="1" operator="between">
      <formula>0</formula>
      <formula>5</formula>
    </cfRule>
    <cfRule type="containsBlanks" dxfId="2785" priority="4693" stopIfTrue="1">
      <formula>LEN(TRIM(Q365))=0</formula>
    </cfRule>
  </conditionalFormatting>
  <conditionalFormatting sqref="P371:Q371">
    <cfRule type="containsBlanks" dxfId="2784" priority="4673" stopIfTrue="1">
      <formula>LEN(TRIM(P371))=0</formula>
    </cfRule>
    <cfRule type="cellIs" dxfId="2783" priority="4674" stopIfTrue="1" operator="between">
      <formula>80.1</formula>
      <formula>100</formula>
    </cfRule>
    <cfRule type="cellIs" dxfId="2782" priority="4675" stopIfTrue="1" operator="between">
      <formula>35.1</formula>
      <formula>80</formula>
    </cfRule>
    <cfRule type="cellIs" dxfId="2781" priority="4676" stopIfTrue="1" operator="between">
      <formula>14.1</formula>
      <formula>35</formula>
    </cfRule>
    <cfRule type="cellIs" dxfId="2780" priority="4677" stopIfTrue="1" operator="between">
      <formula>5.1</formula>
      <formula>14</formula>
    </cfRule>
    <cfRule type="cellIs" dxfId="2779" priority="4678" stopIfTrue="1" operator="between">
      <formula>0</formula>
      <formula>5</formula>
    </cfRule>
    <cfRule type="containsBlanks" dxfId="2778" priority="4679" stopIfTrue="1">
      <formula>LEN(TRIM(P371))=0</formula>
    </cfRule>
  </conditionalFormatting>
  <conditionalFormatting sqref="Q380">
    <cfRule type="containsBlanks" dxfId="2777" priority="4659" stopIfTrue="1">
      <formula>LEN(TRIM(Q380))=0</formula>
    </cfRule>
    <cfRule type="cellIs" dxfId="2776" priority="4660" stopIfTrue="1" operator="between">
      <formula>80.1</formula>
      <formula>100</formula>
    </cfRule>
    <cfRule type="cellIs" dxfId="2775" priority="4661" stopIfTrue="1" operator="between">
      <formula>35.1</formula>
      <formula>80</formula>
    </cfRule>
    <cfRule type="cellIs" dxfId="2774" priority="4662" stopIfTrue="1" operator="between">
      <formula>14.1</formula>
      <formula>35</formula>
    </cfRule>
    <cfRule type="cellIs" dxfId="2773" priority="4663" stopIfTrue="1" operator="between">
      <formula>5.1</formula>
      <formula>14</formula>
    </cfRule>
    <cfRule type="cellIs" dxfId="2772" priority="4664" stopIfTrue="1" operator="between">
      <formula>0</formula>
      <formula>5</formula>
    </cfRule>
    <cfRule type="containsBlanks" dxfId="2771" priority="4665" stopIfTrue="1">
      <formula>LEN(TRIM(Q380))=0</formula>
    </cfRule>
  </conditionalFormatting>
  <conditionalFormatting sqref="P372:Q372">
    <cfRule type="containsBlanks" dxfId="2770" priority="4645" stopIfTrue="1">
      <formula>LEN(TRIM(P372))=0</formula>
    </cfRule>
    <cfRule type="cellIs" dxfId="2769" priority="4646" stopIfTrue="1" operator="between">
      <formula>80.1</formula>
      <formula>100</formula>
    </cfRule>
    <cfRule type="cellIs" dxfId="2768" priority="4647" stopIfTrue="1" operator="between">
      <formula>35.1</formula>
      <formula>80</formula>
    </cfRule>
    <cfRule type="cellIs" dxfId="2767" priority="4648" stopIfTrue="1" operator="between">
      <formula>14.1</formula>
      <formula>35</formula>
    </cfRule>
    <cfRule type="cellIs" dxfId="2766" priority="4649" stopIfTrue="1" operator="between">
      <formula>5.1</formula>
      <formula>14</formula>
    </cfRule>
    <cfRule type="cellIs" dxfId="2765" priority="4650" stopIfTrue="1" operator="between">
      <formula>0</formula>
      <formula>5</formula>
    </cfRule>
    <cfRule type="containsBlanks" dxfId="2764" priority="4651" stopIfTrue="1">
      <formula>LEN(TRIM(P372))=0</formula>
    </cfRule>
  </conditionalFormatting>
  <conditionalFormatting sqref="E387:G387 K387:Q387">
    <cfRule type="containsBlanks" dxfId="2763" priority="4631" stopIfTrue="1">
      <formula>LEN(TRIM(E387))=0</formula>
    </cfRule>
    <cfRule type="cellIs" dxfId="2762" priority="4632" stopIfTrue="1" operator="between">
      <formula>80.1</formula>
      <formula>100</formula>
    </cfRule>
    <cfRule type="cellIs" dxfId="2761" priority="4633" stopIfTrue="1" operator="between">
      <formula>35.1</formula>
      <formula>80</formula>
    </cfRule>
    <cfRule type="cellIs" dxfId="2760" priority="4634" stopIfTrue="1" operator="between">
      <formula>14.1</formula>
      <formula>35</formula>
    </cfRule>
    <cfRule type="cellIs" dxfId="2759" priority="4635" stopIfTrue="1" operator="between">
      <formula>5.1</formula>
      <formula>14</formula>
    </cfRule>
    <cfRule type="cellIs" dxfId="2758" priority="4636" stopIfTrue="1" operator="between">
      <formula>0</formula>
      <formula>5</formula>
    </cfRule>
    <cfRule type="containsBlanks" dxfId="2757" priority="4637" stopIfTrue="1">
      <formula>LEN(TRIM(E387))=0</formula>
    </cfRule>
  </conditionalFormatting>
  <conditionalFormatting sqref="H387:J387">
    <cfRule type="containsBlanks" dxfId="2756" priority="4624" stopIfTrue="1">
      <formula>LEN(TRIM(H387))=0</formula>
    </cfRule>
    <cfRule type="cellIs" dxfId="2755" priority="4625" stopIfTrue="1" operator="between">
      <formula>80.1</formula>
      <formula>100</formula>
    </cfRule>
    <cfRule type="cellIs" dxfId="2754" priority="4626" stopIfTrue="1" operator="between">
      <formula>35.1</formula>
      <formula>80</formula>
    </cfRule>
    <cfRule type="cellIs" dxfId="2753" priority="4627" stopIfTrue="1" operator="between">
      <formula>14.1</formula>
      <formula>35</formula>
    </cfRule>
    <cfRule type="cellIs" dxfId="2752" priority="4628" stopIfTrue="1" operator="between">
      <formula>5.1</formula>
      <formula>14</formula>
    </cfRule>
    <cfRule type="cellIs" dxfId="2751" priority="4629" stopIfTrue="1" operator="between">
      <formula>0</formula>
      <formula>5</formula>
    </cfRule>
    <cfRule type="containsBlanks" dxfId="2750" priority="4630" stopIfTrue="1">
      <formula>LEN(TRIM(H387))=0</formula>
    </cfRule>
  </conditionalFormatting>
  <conditionalFormatting sqref="H383:J383">
    <cfRule type="containsBlanks" dxfId="2749" priority="4596" stopIfTrue="1">
      <formula>LEN(TRIM(H383))=0</formula>
    </cfRule>
    <cfRule type="cellIs" dxfId="2748" priority="4597" stopIfTrue="1" operator="between">
      <formula>80.1</formula>
      <formula>100</formula>
    </cfRule>
    <cfRule type="cellIs" dxfId="2747" priority="4598" stopIfTrue="1" operator="between">
      <formula>35.1</formula>
      <formula>80</formula>
    </cfRule>
    <cfRule type="cellIs" dxfId="2746" priority="4599" stopIfTrue="1" operator="between">
      <formula>14.1</formula>
      <formula>35</formula>
    </cfRule>
    <cfRule type="cellIs" dxfId="2745" priority="4600" stopIfTrue="1" operator="between">
      <formula>5.1</formula>
      <formula>14</formula>
    </cfRule>
    <cfRule type="cellIs" dxfId="2744" priority="4601" stopIfTrue="1" operator="between">
      <formula>0</formula>
      <formula>5</formula>
    </cfRule>
    <cfRule type="containsBlanks" dxfId="2743" priority="4602" stopIfTrue="1">
      <formula>LEN(TRIM(H383))=0</formula>
    </cfRule>
  </conditionalFormatting>
  <conditionalFormatting sqref="P374:Q374">
    <cfRule type="containsBlanks" dxfId="2742" priority="4589" stopIfTrue="1">
      <formula>LEN(TRIM(P374))=0</formula>
    </cfRule>
    <cfRule type="cellIs" dxfId="2741" priority="4590" stopIfTrue="1" operator="between">
      <formula>80.1</formula>
      <formula>100</formula>
    </cfRule>
    <cfRule type="cellIs" dxfId="2740" priority="4591" stopIfTrue="1" operator="between">
      <formula>35.1</formula>
      <formula>80</formula>
    </cfRule>
    <cfRule type="cellIs" dxfId="2739" priority="4592" stopIfTrue="1" operator="between">
      <formula>14.1</formula>
      <formula>35</formula>
    </cfRule>
    <cfRule type="cellIs" dxfId="2738" priority="4593" stopIfTrue="1" operator="between">
      <formula>5.1</formula>
      <formula>14</formula>
    </cfRule>
    <cfRule type="cellIs" dxfId="2737" priority="4594" stopIfTrue="1" operator="between">
      <formula>0</formula>
      <formula>5</formula>
    </cfRule>
    <cfRule type="containsBlanks" dxfId="2736" priority="4595" stopIfTrue="1">
      <formula>LEN(TRIM(P374))=0</formula>
    </cfRule>
  </conditionalFormatting>
  <conditionalFormatting sqref="E378:G378 K378:Q378">
    <cfRule type="containsBlanks" dxfId="2735" priority="4575" stopIfTrue="1">
      <formula>LEN(TRIM(E378))=0</formula>
    </cfRule>
    <cfRule type="cellIs" dxfId="2734" priority="4576" stopIfTrue="1" operator="between">
      <formula>80.1</formula>
      <formula>100</formula>
    </cfRule>
    <cfRule type="cellIs" dxfId="2733" priority="4577" stopIfTrue="1" operator="between">
      <formula>35.1</formula>
      <formula>80</formula>
    </cfRule>
    <cfRule type="cellIs" dxfId="2732" priority="4578" stopIfTrue="1" operator="between">
      <formula>14.1</formula>
      <formula>35</formula>
    </cfRule>
    <cfRule type="cellIs" dxfId="2731" priority="4579" stopIfTrue="1" operator="between">
      <formula>5.1</formula>
      <formula>14</formula>
    </cfRule>
    <cfRule type="cellIs" dxfId="2730" priority="4580" stopIfTrue="1" operator="between">
      <formula>0</formula>
      <formula>5</formula>
    </cfRule>
    <cfRule type="containsBlanks" dxfId="2729" priority="4581" stopIfTrue="1">
      <formula>LEN(TRIM(E378))=0</formula>
    </cfRule>
  </conditionalFormatting>
  <conditionalFormatting sqref="H378:J378">
    <cfRule type="containsBlanks" dxfId="2728" priority="4568" stopIfTrue="1">
      <formula>LEN(TRIM(H378))=0</formula>
    </cfRule>
    <cfRule type="cellIs" dxfId="2727" priority="4569" stopIfTrue="1" operator="between">
      <formula>80.1</formula>
      <formula>100</formula>
    </cfRule>
    <cfRule type="cellIs" dxfId="2726" priority="4570" stopIfTrue="1" operator="between">
      <formula>35.1</formula>
      <formula>80</formula>
    </cfRule>
    <cfRule type="cellIs" dxfId="2725" priority="4571" stopIfTrue="1" operator="between">
      <formula>14.1</formula>
      <formula>35</formula>
    </cfRule>
    <cfRule type="cellIs" dxfId="2724" priority="4572" stopIfTrue="1" operator="between">
      <formula>5.1</formula>
      <formula>14</formula>
    </cfRule>
    <cfRule type="cellIs" dxfId="2723" priority="4573" stopIfTrue="1" operator="between">
      <formula>0</formula>
      <formula>5</formula>
    </cfRule>
    <cfRule type="containsBlanks" dxfId="2722" priority="4574" stopIfTrue="1">
      <formula>LEN(TRIM(H378))=0</formula>
    </cfRule>
  </conditionalFormatting>
  <conditionalFormatting sqref="Q379">
    <cfRule type="containsBlanks" dxfId="2721" priority="4561" stopIfTrue="1">
      <formula>LEN(TRIM(Q379))=0</formula>
    </cfRule>
    <cfRule type="cellIs" dxfId="2720" priority="4562" stopIfTrue="1" operator="between">
      <formula>80.1</formula>
      <formula>100</formula>
    </cfRule>
    <cfRule type="cellIs" dxfId="2719" priority="4563" stopIfTrue="1" operator="between">
      <formula>35.1</formula>
      <formula>80</formula>
    </cfRule>
    <cfRule type="cellIs" dxfId="2718" priority="4564" stopIfTrue="1" operator="between">
      <formula>14.1</formula>
      <formula>35</formula>
    </cfRule>
    <cfRule type="cellIs" dxfId="2717" priority="4565" stopIfTrue="1" operator="between">
      <formula>5.1</formula>
      <formula>14</formula>
    </cfRule>
    <cfRule type="cellIs" dxfId="2716" priority="4566" stopIfTrue="1" operator="between">
      <formula>0</formula>
      <formula>5</formula>
    </cfRule>
    <cfRule type="containsBlanks" dxfId="2715" priority="4567" stopIfTrue="1">
      <formula>LEN(TRIM(Q379))=0</formula>
    </cfRule>
  </conditionalFormatting>
  <conditionalFormatting sqref="E385:G385 K385:Q385">
    <cfRule type="containsBlanks" dxfId="2714" priority="4533" stopIfTrue="1">
      <formula>LEN(TRIM(E385))=0</formula>
    </cfRule>
    <cfRule type="cellIs" dxfId="2713" priority="4534" stopIfTrue="1" operator="between">
      <formula>80.1</formula>
      <formula>100</formula>
    </cfRule>
    <cfRule type="cellIs" dxfId="2712" priority="4535" stopIfTrue="1" operator="between">
      <formula>35.1</formula>
      <formula>80</formula>
    </cfRule>
    <cfRule type="cellIs" dxfId="2711" priority="4536" stopIfTrue="1" operator="between">
      <formula>14.1</formula>
      <formula>35</formula>
    </cfRule>
    <cfRule type="cellIs" dxfId="2710" priority="4537" stopIfTrue="1" operator="between">
      <formula>5.1</formula>
      <formula>14</formula>
    </cfRule>
    <cfRule type="cellIs" dxfId="2709" priority="4538" stopIfTrue="1" operator="between">
      <formula>0</formula>
      <formula>5</formula>
    </cfRule>
    <cfRule type="containsBlanks" dxfId="2708" priority="4539" stopIfTrue="1">
      <formula>LEN(TRIM(E385))=0</formula>
    </cfRule>
  </conditionalFormatting>
  <conditionalFormatting sqref="H385:J385">
    <cfRule type="containsBlanks" dxfId="2707" priority="4526" stopIfTrue="1">
      <formula>LEN(TRIM(H385))=0</formula>
    </cfRule>
    <cfRule type="cellIs" dxfId="2706" priority="4527" stopIfTrue="1" operator="between">
      <formula>80.1</formula>
      <formula>100</formula>
    </cfRule>
    <cfRule type="cellIs" dxfId="2705" priority="4528" stopIfTrue="1" operator="between">
      <formula>35.1</formula>
      <formula>80</formula>
    </cfRule>
    <cfRule type="cellIs" dxfId="2704" priority="4529" stopIfTrue="1" operator="between">
      <formula>14.1</formula>
      <formula>35</formula>
    </cfRule>
    <cfRule type="cellIs" dxfId="2703" priority="4530" stopIfTrue="1" operator="between">
      <formula>5.1</formula>
      <formula>14</formula>
    </cfRule>
    <cfRule type="cellIs" dxfId="2702" priority="4531" stopIfTrue="1" operator="between">
      <formula>0</formula>
      <formula>5</formula>
    </cfRule>
    <cfRule type="containsBlanks" dxfId="2701" priority="4532" stopIfTrue="1">
      <formula>LEN(TRIM(H385))=0</formula>
    </cfRule>
  </conditionalFormatting>
  <conditionalFormatting sqref="P373:Q373">
    <cfRule type="containsBlanks" dxfId="2700" priority="4519" stopIfTrue="1">
      <formula>LEN(TRIM(P373))=0</formula>
    </cfRule>
    <cfRule type="cellIs" dxfId="2699" priority="4520" stopIfTrue="1" operator="between">
      <formula>80.1</formula>
      <formula>100</formula>
    </cfRule>
    <cfRule type="cellIs" dxfId="2698" priority="4521" stopIfTrue="1" operator="between">
      <formula>35.1</formula>
      <formula>80</formula>
    </cfRule>
    <cfRule type="cellIs" dxfId="2697" priority="4522" stopIfTrue="1" operator="between">
      <formula>14.1</formula>
      <formula>35</formula>
    </cfRule>
    <cfRule type="cellIs" dxfId="2696" priority="4523" stopIfTrue="1" operator="between">
      <formula>5.1</formula>
      <formula>14</formula>
    </cfRule>
    <cfRule type="cellIs" dxfId="2695" priority="4524" stopIfTrue="1" operator="between">
      <formula>0</formula>
      <formula>5</formula>
    </cfRule>
    <cfRule type="containsBlanks" dxfId="2694" priority="4525" stopIfTrue="1">
      <formula>LEN(TRIM(P373))=0</formula>
    </cfRule>
  </conditionalFormatting>
  <conditionalFormatting sqref="E388:G388 K388:Q388">
    <cfRule type="containsBlanks" dxfId="2693" priority="4505" stopIfTrue="1">
      <formula>LEN(TRIM(E388))=0</formula>
    </cfRule>
    <cfRule type="cellIs" dxfId="2692" priority="4506" stopIfTrue="1" operator="between">
      <formula>80.1</formula>
      <formula>100</formula>
    </cfRule>
    <cfRule type="cellIs" dxfId="2691" priority="4507" stopIfTrue="1" operator="between">
      <formula>35.1</formula>
      <formula>80</formula>
    </cfRule>
    <cfRule type="cellIs" dxfId="2690" priority="4508" stopIfTrue="1" operator="between">
      <formula>14.1</formula>
      <formula>35</formula>
    </cfRule>
    <cfRule type="cellIs" dxfId="2689" priority="4509" stopIfTrue="1" operator="between">
      <formula>5.1</formula>
      <formula>14</formula>
    </cfRule>
    <cfRule type="cellIs" dxfId="2688" priority="4510" stopIfTrue="1" operator="between">
      <formula>0</formula>
      <formula>5</formula>
    </cfRule>
    <cfRule type="containsBlanks" dxfId="2687" priority="4511" stopIfTrue="1">
      <formula>LEN(TRIM(E388))=0</formula>
    </cfRule>
  </conditionalFormatting>
  <conditionalFormatting sqref="H388:J388">
    <cfRule type="containsBlanks" dxfId="2686" priority="4498" stopIfTrue="1">
      <formula>LEN(TRIM(H388))=0</formula>
    </cfRule>
    <cfRule type="cellIs" dxfId="2685" priority="4499" stopIfTrue="1" operator="between">
      <formula>80.1</formula>
      <formula>100</formula>
    </cfRule>
    <cfRule type="cellIs" dxfId="2684" priority="4500" stopIfTrue="1" operator="between">
      <formula>35.1</formula>
      <formula>80</formula>
    </cfRule>
    <cfRule type="cellIs" dxfId="2683" priority="4501" stopIfTrue="1" operator="between">
      <formula>14.1</formula>
      <formula>35</formula>
    </cfRule>
    <cfRule type="cellIs" dxfId="2682" priority="4502" stopIfTrue="1" operator="between">
      <formula>5.1</formula>
      <formula>14</formula>
    </cfRule>
    <cfRule type="cellIs" dxfId="2681" priority="4503" stopIfTrue="1" operator="between">
      <formula>0</formula>
      <formula>5</formula>
    </cfRule>
    <cfRule type="containsBlanks" dxfId="2680" priority="4504" stopIfTrue="1">
      <formula>LEN(TRIM(H388))=0</formula>
    </cfRule>
  </conditionalFormatting>
  <conditionalFormatting sqref="E369:G369 K369:Q369">
    <cfRule type="containsBlanks" dxfId="2679" priority="4491" stopIfTrue="1">
      <formula>LEN(TRIM(E369))=0</formula>
    </cfRule>
    <cfRule type="cellIs" dxfId="2678" priority="4492" stopIfTrue="1" operator="between">
      <formula>80.1</formula>
      <formula>100</formula>
    </cfRule>
    <cfRule type="cellIs" dxfId="2677" priority="4493" stopIfTrue="1" operator="between">
      <formula>35.1</formula>
      <formula>80</formula>
    </cfRule>
    <cfRule type="cellIs" dxfId="2676" priority="4494" stopIfTrue="1" operator="between">
      <formula>14.1</formula>
      <formula>35</formula>
    </cfRule>
    <cfRule type="cellIs" dxfId="2675" priority="4495" stopIfTrue="1" operator="between">
      <formula>5.1</formula>
      <formula>14</formula>
    </cfRule>
    <cfRule type="cellIs" dxfId="2674" priority="4496" stopIfTrue="1" operator="between">
      <formula>0</formula>
      <formula>5</formula>
    </cfRule>
    <cfRule type="containsBlanks" dxfId="2673" priority="4497" stopIfTrue="1">
      <formula>LEN(TRIM(E369))=0</formula>
    </cfRule>
  </conditionalFormatting>
  <conditionalFormatting sqref="H369:J369">
    <cfRule type="containsBlanks" dxfId="2672" priority="4484" stopIfTrue="1">
      <formula>LEN(TRIM(H369))=0</formula>
    </cfRule>
    <cfRule type="cellIs" dxfId="2671" priority="4485" stopIfTrue="1" operator="between">
      <formula>80.1</formula>
      <formula>100</formula>
    </cfRule>
    <cfRule type="cellIs" dxfId="2670" priority="4486" stopIfTrue="1" operator="between">
      <formula>35.1</formula>
      <formula>80</formula>
    </cfRule>
    <cfRule type="cellIs" dxfId="2669" priority="4487" stopIfTrue="1" operator="between">
      <formula>14.1</formula>
      <formula>35</formula>
    </cfRule>
    <cfRule type="cellIs" dxfId="2668" priority="4488" stopIfTrue="1" operator="between">
      <formula>5.1</formula>
      <formula>14</formula>
    </cfRule>
    <cfRule type="cellIs" dxfId="2667" priority="4489" stopIfTrue="1" operator="between">
      <formula>0</formula>
      <formula>5</formula>
    </cfRule>
    <cfRule type="containsBlanks" dxfId="2666" priority="4490" stopIfTrue="1">
      <formula>LEN(TRIM(H369))=0</formula>
    </cfRule>
  </conditionalFormatting>
  <conditionalFormatting sqref="E384:G384 K384:Q384">
    <cfRule type="containsBlanks" dxfId="2665" priority="4477" stopIfTrue="1">
      <formula>LEN(TRIM(E384))=0</formula>
    </cfRule>
    <cfRule type="cellIs" dxfId="2664" priority="4478" stopIfTrue="1" operator="between">
      <formula>80.1</formula>
      <formula>100</formula>
    </cfRule>
    <cfRule type="cellIs" dxfId="2663" priority="4479" stopIfTrue="1" operator="between">
      <formula>35.1</formula>
      <formula>80</formula>
    </cfRule>
    <cfRule type="cellIs" dxfId="2662" priority="4480" stopIfTrue="1" operator="between">
      <formula>14.1</formula>
      <formula>35</formula>
    </cfRule>
    <cfRule type="cellIs" dxfId="2661" priority="4481" stopIfTrue="1" operator="between">
      <formula>5.1</formula>
      <formula>14</formula>
    </cfRule>
    <cfRule type="cellIs" dxfId="2660" priority="4482" stopIfTrue="1" operator="between">
      <formula>0</formula>
      <formula>5</formula>
    </cfRule>
    <cfRule type="containsBlanks" dxfId="2659" priority="4483" stopIfTrue="1">
      <formula>LEN(TRIM(E384))=0</formula>
    </cfRule>
  </conditionalFormatting>
  <conditionalFormatting sqref="H384:J384">
    <cfRule type="containsBlanks" dxfId="2658" priority="4470" stopIfTrue="1">
      <formula>LEN(TRIM(H384))=0</formula>
    </cfRule>
    <cfRule type="cellIs" dxfId="2657" priority="4471" stopIfTrue="1" operator="between">
      <formula>80.1</formula>
      <formula>100</formula>
    </cfRule>
    <cfRule type="cellIs" dxfId="2656" priority="4472" stopIfTrue="1" operator="between">
      <formula>35.1</formula>
      <formula>80</formula>
    </cfRule>
    <cfRule type="cellIs" dxfId="2655" priority="4473" stopIfTrue="1" operator="between">
      <formula>14.1</formula>
      <formula>35</formula>
    </cfRule>
    <cfRule type="cellIs" dxfId="2654" priority="4474" stopIfTrue="1" operator="between">
      <formula>5.1</formula>
      <formula>14</formula>
    </cfRule>
    <cfRule type="cellIs" dxfId="2653" priority="4475" stopIfTrue="1" operator="between">
      <formula>0</formula>
      <formula>5</formula>
    </cfRule>
    <cfRule type="containsBlanks" dxfId="2652" priority="4476" stopIfTrue="1">
      <formula>LEN(TRIM(H384))=0</formula>
    </cfRule>
  </conditionalFormatting>
  <conditionalFormatting sqref="Q366">
    <cfRule type="containsBlanks" dxfId="2651" priority="4463" stopIfTrue="1">
      <formula>LEN(TRIM(Q366))=0</formula>
    </cfRule>
    <cfRule type="cellIs" dxfId="2650" priority="4464" stopIfTrue="1" operator="between">
      <formula>80.1</formula>
      <formula>100</formula>
    </cfRule>
    <cfRule type="cellIs" dxfId="2649" priority="4465" stopIfTrue="1" operator="between">
      <formula>35.1</formula>
      <formula>80</formula>
    </cfRule>
    <cfRule type="cellIs" dxfId="2648" priority="4466" stopIfTrue="1" operator="between">
      <formula>14.1</formula>
      <formula>35</formula>
    </cfRule>
    <cfRule type="cellIs" dxfId="2647" priority="4467" stopIfTrue="1" operator="between">
      <formula>5.1</formula>
      <formula>14</formula>
    </cfRule>
    <cfRule type="cellIs" dxfId="2646" priority="4468" stopIfTrue="1" operator="between">
      <formula>0</formula>
      <formula>5</formula>
    </cfRule>
    <cfRule type="containsBlanks" dxfId="2645" priority="4469" stopIfTrue="1">
      <formula>LEN(TRIM(Q366))=0</formula>
    </cfRule>
  </conditionalFormatting>
  <conditionalFormatting sqref="Q382">
    <cfRule type="containsBlanks" dxfId="2644" priority="4449" stopIfTrue="1">
      <formula>LEN(TRIM(Q382))=0</formula>
    </cfRule>
    <cfRule type="cellIs" dxfId="2643" priority="4450" stopIfTrue="1" operator="between">
      <formula>80.1</formula>
      <formula>100</formula>
    </cfRule>
    <cfRule type="cellIs" dxfId="2642" priority="4451" stopIfTrue="1" operator="between">
      <formula>35.1</formula>
      <formula>80</formula>
    </cfRule>
    <cfRule type="cellIs" dxfId="2641" priority="4452" stopIfTrue="1" operator="between">
      <formula>14.1</formula>
      <formula>35</formula>
    </cfRule>
    <cfRule type="cellIs" dxfId="2640" priority="4453" stopIfTrue="1" operator="between">
      <formula>5.1</formula>
      <formula>14</formula>
    </cfRule>
    <cfRule type="cellIs" dxfId="2639" priority="4454" stopIfTrue="1" operator="between">
      <formula>0</formula>
      <formula>5</formula>
    </cfRule>
    <cfRule type="containsBlanks" dxfId="2638" priority="4455" stopIfTrue="1">
      <formula>LEN(TRIM(Q382))=0</formula>
    </cfRule>
  </conditionalFormatting>
  <conditionalFormatting sqref="E377:G377 K377:Q377">
    <cfRule type="containsBlanks" dxfId="2637" priority="4435" stopIfTrue="1">
      <formula>LEN(TRIM(E377))=0</formula>
    </cfRule>
    <cfRule type="cellIs" dxfId="2636" priority="4436" stopIfTrue="1" operator="between">
      <formula>80.1</formula>
      <formula>100</formula>
    </cfRule>
    <cfRule type="cellIs" dxfId="2635" priority="4437" stopIfTrue="1" operator="between">
      <formula>35.1</formula>
      <formula>80</formula>
    </cfRule>
    <cfRule type="cellIs" dxfId="2634" priority="4438" stopIfTrue="1" operator="between">
      <formula>14.1</formula>
      <formula>35</formula>
    </cfRule>
    <cfRule type="cellIs" dxfId="2633" priority="4439" stopIfTrue="1" operator="between">
      <formula>5.1</formula>
      <formula>14</formula>
    </cfRule>
    <cfRule type="cellIs" dxfId="2632" priority="4440" stopIfTrue="1" operator="between">
      <formula>0</formula>
      <formula>5</formula>
    </cfRule>
    <cfRule type="containsBlanks" dxfId="2631" priority="4441" stopIfTrue="1">
      <formula>LEN(TRIM(E377))=0</formula>
    </cfRule>
  </conditionalFormatting>
  <conditionalFormatting sqref="H377:J377">
    <cfRule type="containsBlanks" dxfId="2630" priority="4428" stopIfTrue="1">
      <formula>LEN(TRIM(H377))=0</formula>
    </cfRule>
    <cfRule type="cellIs" dxfId="2629" priority="4429" stopIfTrue="1" operator="between">
      <formula>80.1</formula>
      <formula>100</formula>
    </cfRule>
    <cfRule type="cellIs" dxfId="2628" priority="4430" stopIfTrue="1" operator="between">
      <formula>35.1</formula>
      <formula>80</formula>
    </cfRule>
    <cfRule type="cellIs" dxfId="2627" priority="4431" stopIfTrue="1" operator="between">
      <formula>14.1</formula>
      <formula>35</formula>
    </cfRule>
    <cfRule type="cellIs" dxfId="2626" priority="4432" stopIfTrue="1" operator="between">
      <formula>5.1</formula>
      <formula>14</formula>
    </cfRule>
    <cfRule type="cellIs" dxfId="2625" priority="4433" stopIfTrue="1" operator="between">
      <formula>0</formula>
      <formula>5</formula>
    </cfRule>
    <cfRule type="containsBlanks" dxfId="2624" priority="4434" stopIfTrue="1">
      <formula>LEN(TRIM(H377))=0</formula>
    </cfRule>
  </conditionalFormatting>
  <conditionalFormatting sqref="E370:G370 K370:Q370">
    <cfRule type="containsBlanks" dxfId="2623" priority="4421" stopIfTrue="1">
      <formula>LEN(TRIM(E370))=0</formula>
    </cfRule>
    <cfRule type="cellIs" dxfId="2622" priority="4422" stopIfTrue="1" operator="between">
      <formula>80.1</formula>
      <formula>100</formula>
    </cfRule>
    <cfRule type="cellIs" dxfId="2621" priority="4423" stopIfTrue="1" operator="between">
      <formula>35.1</formula>
      <formula>80</formula>
    </cfRule>
    <cfRule type="cellIs" dxfId="2620" priority="4424" stopIfTrue="1" operator="between">
      <formula>14.1</formula>
      <formula>35</formula>
    </cfRule>
    <cfRule type="cellIs" dxfId="2619" priority="4425" stopIfTrue="1" operator="between">
      <formula>5.1</formula>
      <formula>14</formula>
    </cfRule>
    <cfRule type="cellIs" dxfId="2618" priority="4426" stopIfTrue="1" operator="between">
      <formula>0</formula>
      <formula>5</formula>
    </cfRule>
    <cfRule type="containsBlanks" dxfId="2617" priority="4427" stopIfTrue="1">
      <formula>LEN(TRIM(E370))=0</formula>
    </cfRule>
  </conditionalFormatting>
  <conditionalFormatting sqref="H370:J370">
    <cfRule type="containsBlanks" dxfId="2616" priority="4414" stopIfTrue="1">
      <formula>LEN(TRIM(H370))=0</formula>
    </cfRule>
    <cfRule type="cellIs" dxfId="2615" priority="4415" stopIfTrue="1" operator="between">
      <formula>80.1</formula>
      <formula>100</formula>
    </cfRule>
    <cfRule type="cellIs" dxfId="2614" priority="4416" stopIfTrue="1" operator="between">
      <formula>35.1</formula>
      <formula>80</formula>
    </cfRule>
    <cfRule type="cellIs" dxfId="2613" priority="4417" stopIfTrue="1" operator="between">
      <formula>14.1</formula>
      <formula>35</formula>
    </cfRule>
    <cfRule type="cellIs" dxfId="2612" priority="4418" stopIfTrue="1" operator="between">
      <formula>5.1</formula>
      <formula>14</formula>
    </cfRule>
    <cfRule type="cellIs" dxfId="2611" priority="4419" stopIfTrue="1" operator="between">
      <formula>0</formula>
      <formula>5</formula>
    </cfRule>
    <cfRule type="containsBlanks" dxfId="2610" priority="4420" stopIfTrue="1">
      <formula>LEN(TRIM(H370))=0</formula>
    </cfRule>
  </conditionalFormatting>
  <conditionalFormatting sqref="E386:G386 K386:Q386">
    <cfRule type="containsBlanks" dxfId="2609" priority="4407" stopIfTrue="1">
      <formula>LEN(TRIM(E386))=0</formula>
    </cfRule>
    <cfRule type="cellIs" dxfId="2608" priority="4408" stopIfTrue="1" operator="between">
      <formula>80.1</formula>
      <formula>100</formula>
    </cfRule>
    <cfRule type="cellIs" dxfId="2607" priority="4409" stopIfTrue="1" operator="between">
      <formula>35.1</formula>
      <formula>80</formula>
    </cfRule>
    <cfRule type="cellIs" dxfId="2606" priority="4410" stopIfTrue="1" operator="between">
      <formula>14.1</formula>
      <formula>35</formula>
    </cfRule>
    <cfRule type="cellIs" dxfId="2605" priority="4411" stopIfTrue="1" operator="between">
      <formula>5.1</formula>
      <formula>14</formula>
    </cfRule>
    <cfRule type="cellIs" dxfId="2604" priority="4412" stopIfTrue="1" operator="between">
      <formula>0</formula>
      <formula>5</formula>
    </cfRule>
    <cfRule type="containsBlanks" dxfId="2603" priority="4413" stopIfTrue="1">
      <formula>LEN(TRIM(E386))=0</formula>
    </cfRule>
  </conditionalFormatting>
  <conditionalFormatting sqref="H386:J386">
    <cfRule type="containsBlanks" dxfId="2602" priority="4400" stopIfTrue="1">
      <formula>LEN(TRIM(H386))=0</formula>
    </cfRule>
    <cfRule type="cellIs" dxfId="2601" priority="4401" stopIfTrue="1" operator="between">
      <formula>80.1</formula>
      <formula>100</formula>
    </cfRule>
    <cfRule type="cellIs" dxfId="2600" priority="4402" stopIfTrue="1" operator="between">
      <formula>35.1</formula>
      <formula>80</formula>
    </cfRule>
    <cfRule type="cellIs" dxfId="2599" priority="4403" stopIfTrue="1" operator="between">
      <formula>14.1</formula>
      <formula>35</formula>
    </cfRule>
    <cfRule type="cellIs" dxfId="2598" priority="4404" stopIfTrue="1" operator="between">
      <formula>5.1</formula>
      <formula>14</formula>
    </cfRule>
    <cfRule type="cellIs" dxfId="2597" priority="4405" stopIfTrue="1" operator="between">
      <formula>0</formula>
      <formula>5</formula>
    </cfRule>
    <cfRule type="containsBlanks" dxfId="2596" priority="4406" stopIfTrue="1">
      <formula>LEN(TRIM(H386))=0</formula>
    </cfRule>
  </conditionalFormatting>
  <conditionalFormatting sqref="E390:Q390">
    <cfRule type="containsBlanks" dxfId="2595" priority="4393" stopIfTrue="1">
      <formula>LEN(TRIM(E390))=0</formula>
    </cfRule>
    <cfRule type="cellIs" dxfId="2594" priority="4394" stopIfTrue="1" operator="between">
      <formula>80.1</formula>
      <formula>100</formula>
    </cfRule>
    <cfRule type="cellIs" dxfId="2593" priority="4395" stopIfTrue="1" operator="between">
      <formula>35.1</formula>
      <formula>80</formula>
    </cfRule>
    <cfRule type="cellIs" dxfId="2592" priority="4396" stopIfTrue="1" operator="between">
      <formula>14.1</formula>
      <formula>35</formula>
    </cfRule>
    <cfRule type="cellIs" dxfId="2591" priority="4397" stopIfTrue="1" operator="between">
      <formula>5.1</formula>
      <formula>14</formula>
    </cfRule>
    <cfRule type="cellIs" dxfId="2590" priority="4398" stopIfTrue="1" operator="between">
      <formula>0</formula>
      <formula>5</formula>
    </cfRule>
    <cfRule type="containsBlanks" dxfId="2589" priority="4399" stopIfTrue="1">
      <formula>LEN(TRIM(E390))=0</formula>
    </cfRule>
  </conditionalFormatting>
  <conditionalFormatting sqref="E391:Q391">
    <cfRule type="containsBlanks" dxfId="2588" priority="4386" stopIfTrue="1">
      <formula>LEN(TRIM(E391))=0</formula>
    </cfRule>
    <cfRule type="cellIs" dxfId="2587" priority="4387" stopIfTrue="1" operator="between">
      <formula>80.1</formula>
      <formula>100</formula>
    </cfRule>
    <cfRule type="cellIs" dxfId="2586" priority="4388" stopIfTrue="1" operator="between">
      <formula>35.1</formula>
      <formula>80</formula>
    </cfRule>
    <cfRule type="cellIs" dxfId="2585" priority="4389" stopIfTrue="1" operator="between">
      <formula>14.1</formula>
      <formula>35</formula>
    </cfRule>
    <cfRule type="cellIs" dxfId="2584" priority="4390" stopIfTrue="1" operator="between">
      <formula>5.1</formula>
      <formula>14</formula>
    </cfRule>
    <cfRule type="cellIs" dxfId="2583" priority="4391" stopIfTrue="1" operator="between">
      <formula>0</formula>
      <formula>5</formula>
    </cfRule>
    <cfRule type="containsBlanks" dxfId="2582" priority="4392" stopIfTrue="1">
      <formula>LEN(TRIM(E391))=0</formula>
    </cfRule>
  </conditionalFormatting>
  <conditionalFormatting sqref="E393:Q393">
    <cfRule type="containsBlanks" dxfId="2581" priority="4379" stopIfTrue="1">
      <formula>LEN(TRIM(E393))=0</formula>
    </cfRule>
    <cfRule type="cellIs" dxfId="2580" priority="4380" stopIfTrue="1" operator="between">
      <formula>80.1</formula>
      <formula>100</formula>
    </cfRule>
    <cfRule type="cellIs" dxfId="2579" priority="4381" stopIfTrue="1" operator="between">
      <formula>35.1</formula>
      <formula>80</formula>
    </cfRule>
    <cfRule type="cellIs" dxfId="2578" priority="4382" stopIfTrue="1" operator="between">
      <formula>14.1</formula>
      <formula>35</formula>
    </cfRule>
    <cfRule type="cellIs" dxfId="2577" priority="4383" stopIfTrue="1" operator="between">
      <formula>5.1</formula>
      <formula>14</formula>
    </cfRule>
    <cfRule type="cellIs" dxfId="2576" priority="4384" stopIfTrue="1" operator="between">
      <formula>0</formula>
      <formula>5</formula>
    </cfRule>
    <cfRule type="containsBlanks" dxfId="2575" priority="4385" stopIfTrue="1">
      <formula>LEN(TRIM(E393))=0</formula>
    </cfRule>
  </conditionalFormatting>
  <conditionalFormatting sqref="Q399">
    <cfRule type="containsBlanks" dxfId="2574" priority="4372" stopIfTrue="1">
      <formula>LEN(TRIM(Q399))=0</formula>
    </cfRule>
    <cfRule type="cellIs" dxfId="2573" priority="4373" stopIfTrue="1" operator="between">
      <formula>80.1</formula>
      <formula>100</formula>
    </cfRule>
    <cfRule type="cellIs" dxfId="2572" priority="4374" stopIfTrue="1" operator="between">
      <formula>35.1</formula>
      <formula>80</formula>
    </cfRule>
    <cfRule type="cellIs" dxfId="2571" priority="4375" stopIfTrue="1" operator="between">
      <formula>14.1</formula>
      <formula>35</formula>
    </cfRule>
    <cfRule type="cellIs" dxfId="2570" priority="4376" stopIfTrue="1" operator="between">
      <formula>5.1</formula>
      <formula>14</formula>
    </cfRule>
    <cfRule type="cellIs" dxfId="2569" priority="4377" stopIfTrue="1" operator="between">
      <formula>0</formula>
      <formula>5</formula>
    </cfRule>
    <cfRule type="containsBlanks" dxfId="2568" priority="4378" stopIfTrue="1">
      <formula>LEN(TRIM(Q399))=0</formula>
    </cfRule>
  </conditionalFormatting>
  <conditionalFormatting sqref="E397:Q397">
    <cfRule type="containsBlanks" dxfId="2567" priority="4365" stopIfTrue="1">
      <formula>LEN(TRIM(E397))=0</formula>
    </cfRule>
    <cfRule type="cellIs" dxfId="2566" priority="4366" stopIfTrue="1" operator="between">
      <formula>80.1</formula>
      <formula>100</formula>
    </cfRule>
    <cfRule type="cellIs" dxfId="2565" priority="4367" stopIfTrue="1" operator="between">
      <formula>35.1</formula>
      <formula>80</formula>
    </cfRule>
    <cfRule type="cellIs" dxfId="2564" priority="4368" stopIfTrue="1" operator="between">
      <formula>14.1</formula>
      <formula>35</formula>
    </cfRule>
    <cfRule type="cellIs" dxfId="2563" priority="4369" stopIfTrue="1" operator="between">
      <formula>5.1</formula>
      <formula>14</formula>
    </cfRule>
    <cfRule type="cellIs" dxfId="2562" priority="4370" stopIfTrue="1" operator="between">
      <formula>0</formula>
      <formula>5</formula>
    </cfRule>
    <cfRule type="containsBlanks" dxfId="2561" priority="4371" stopIfTrue="1">
      <formula>LEN(TRIM(E397))=0</formula>
    </cfRule>
  </conditionalFormatting>
  <conditionalFormatting sqref="E389:Q389">
    <cfRule type="containsBlanks" dxfId="2560" priority="4358" stopIfTrue="1">
      <formula>LEN(TRIM(E389))=0</formula>
    </cfRule>
    <cfRule type="cellIs" dxfId="2559" priority="4359" stopIfTrue="1" operator="between">
      <formula>80.1</formula>
      <formula>100</formula>
    </cfRule>
    <cfRule type="cellIs" dxfId="2558" priority="4360" stopIfTrue="1" operator="between">
      <formula>35.1</formula>
      <formula>80</formula>
    </cfRule>
    <cfRule type="cellIs" dxfId="2557" priority="4361" stopIfTrue="1" operator="between">
      <formula>14.1</formula>
      <formula>35</formula>
    </cfRule>
    <cfRule type="cellIs" dxfId="2556" priority="4362" stopIfTrue="1" operator="between">
      <formula>5.1</formula>
      <formula>14</formula>
    </cfRule>
    <cfRule type="cellIs" dxfId="2555" priority="4363" stopIfTrue="1" operator="between">
      <formula>0</formula>
      <formula>5</formula>
    </cfRule>
    <cfRule type="containsBlanks" dxfId="2554" priority="4364" stopIfTrue="1">
      <formula>LEN(TRIM(E389))=0</formula>
    </cfRule>
  </conditionalFormatting>
  <conditionalFormatting sqref="E396:Q396">
    <cfRule type="containsBlanks" dxfId="2553" priority="4351" stopIfTrue="1">
      <formula>LEN(TRIM(E396))=0</formula>
    </cfRule>
    <cfRule type="cellIs" dxfId="2552" priority="4352" stopIfTrue="1" operator="between">
      <formula>80.1</formula>
      <formula>100</formula>
    </cfRule>
    <cfRule type="cellIs" dxfId="2551" priority="4353" stopIfTrue="1" operator="between">
      <formula>35.1</formula>
      <formula>80</formula>
    </cfRule>
    <cfRule type="cellIs" dxfId="2550" priority="4354" stopIfTrue="1" operator="between">
      <formula>14.1</formula>
      <formula>35</formula>
    </cfRule>
    <cfRule type="cellIs" dxfId="2549" priority="4355" stopIfTrue="1" operator="between">
      <formula>5.1</formula>
      <formula>14</formula>
    </cfRule>
    <cfRule type="cellIs" dxfId="2548" priority="4356" stopIfTrue="1" operator="between">
      <formula>0</formula>
      <formula>5</formula>
    </cfRule>
    <cfRule type="containsBlanks" dxfId="2547" priority="4357" stopIfTrue="1">
      <formula>LEN(TRIM(E396))=0</formula>
    </cfRule>
  </conditionalFormatting>
  <conditionalFormatting sqref="Q402">
    <cfRule type="containsBlanks" dxfId="2546" priority="4344" stopIfTrue="1">
      <formula>LEN(TRIM(Q402))=0</formula>
    </cfRule>
    <cfRule type="cellIs" dxfId="2545" priority="4345" stopIfTrue="1" operator="between">
      <formula>80.1</formula>
      <formula>100</formula>
    </cfRule>
    <cfRule type="cellIs" dxfId="2544" priority="4346" stopIfTrue="1" operator="between">
      <formula>35.1</formula>
      <formula>80</formula>
    </cfRule>
    <cfRule type="cellIs" dxfId="2543" priority="4347" stopIfTrue="1" operator="between">
      <formula>14.1</formula>
      <formula>35</formula>
    </cfRule>
    <cfRule type="cellIs" dxfId="2542" priority="4348" stopIfTrue="1" operator="between">
      <formula>5.1</formula>
      <formula>14</formula>
    </cfRule>
    <cfRule type="cellIs" dxfId="2541" priority="4349" stopIfTrue="1" operator="between">
      <formula>0</formula>
      <formula>5</formula>
    </cfRule>
    <cfRule type="containsBlanks" dxfId="2540" priority="4350" stopIfTrue="1">
      <formula>LEN(TRIM(Q402))=0</formula>
    </cfRule>
  </conditionalFormatting>
  <conditionalFormatting sqref="E395:Q395">
    <cfRule type="containsBlanks" dxfId="2539" priority="4337" stopIfTrue="1">
      <formula>LEN(TRIM(E395))=0</formula>
    </cfRule>
    <cfRule type="cellIs" dxfId="2538" priority="4338" stopIfTrue="1" operator="between">
      <formula>80.1</formula>
      <formula>100</formula>
    </cfRule>
    <cfRule type="cellIs" dxfId="2537" priority="4339" stopIfTrue="1" operator="between">
      <formula>35.1</formula>
      <formula>80</formula>
    </cfRule>
    <cfRule type="cellIs" dxfId="2536" priority="4340" stopIfTrue="1" operator="between">
      <formula>14.1</formula>
      <formula>35</formula>
    </cfRule>
    <cfRule type="cellIs" dxfId="2535" priority="4341" stopIfTrue="1" operator="between">
      <formula>5.1</formula>
      <formula>14</formula>
    </cfRule>
    <cfRule type="cellIs" dxfId="2534" priority="4342" stopIfTrue="1" operator="between">
      <formula>0</formula>
      <formula>5</formula>
    </cfRule>
    <cfRule type="containsBlanks" dxfId="2533" priority="4343" stopIfTrue="1">
      <formula>LEN(TRIM(E395))=0</formula>
    </cfRule>
  </conditionalFormatting>
  <conditionalFormatting sqref="E394:Q394">
    <cfRule type="containsBlanks" dxfId="2532" priority="4330" stopIfTrue="1">
      <formula>LEN(TRIM(E394))=0</formula>
    </cfRule>
    <cfRule type="cellIs" dxfId="2531" priority="4331" stopIfTrue="1" operator="between">
      <formula>80.1</formula>
      <formula>100</formula>
    </cfRule>
    <cfRule type="cellIs" dxfId="2530" priority="4332" stopIfTrue="1" operator="between">
      <formula>35.1</formula>
      <formula>80</formula>
    </cfRule>
    <cfRule type="cellIs" dxfId="2529" priority="4333" stopIfTrue="1" operator="between">
      <formula>14.1</formula>
      <formula>35</formula>
    </cfRule>
    <cfRule type="cellIs" dxfId="2528" priority="4334" stopIfTrue="1" operator="between">
      <formula>5.1</formula>
      <formula>14</formula>
    </cfRule>
    <cfRule type="cellIs" dxfId="2527" priority="4335" stopIfTrue="1" operator="between">
      <formula>0</formula>
      <formula>5</formula>
    </cfRule>
    <cfRule type="containsBlanks" dxfId="2526" priority="4336" stopIfTrue="1">
      <formula>LEN(TRIM(E394))=0</formula>
    </cfRule>
  </conditionalFormatting>
  <conditionalFormatting sqref="E392:Q392">
    <cfRule type="containsBlanks" dxfId="2525" priority="4323" stopIfTrue="1">
      <formula>LEN(TRIM(E392))=0</formula>
    </cfRule>
    <cfRule type="cellIs" dxfId="2524" priority="4324" stopIfTrue="1" operator="between">
      <formula>80.1</formula>
      <formula>100</formula>
    </cfRule>
    <cfRule type="cellIs" dxfId="2523" priority="4325" stopIfTrue="1" operator="between">
      <formula>35.1</formula>
      <formula>80</formula>
    </cfRule>
    <cfRule type="cellIs" dxfId="2522" priority="4326" stopIfTrue="1" operator="between">
      <formula>14.1</formula>
      <formula>35</formula>
    </cfRule>
    <cfRule type="cellIs" dxfId="2521" priority="4327" stopIfTrue="1" operator="between">
      <formula>5.1</formula>
      <formula>14</formula>
    </cfRule>
    <cfRule type="cellIs" dxfId="2520" priority="4328" stopIfTrue="1" operator="between">
      <formula>0</formula>
      <formula>5</formula>
    </cfRule>
    <cfRule type="containsBlanks" dxfId="2519" priority="4329" stopIfTrue="1">
      <formula>LEN(TRIM(E392))=0</formula>
    </cfRule>
  </conditionalFormatting>
  <conditionalFormatting sqref="Q398">
    <cfRule type="containsBlanks" dxfId="2518" priority="4316" stopIfTrue="1">
      <formula>LEN(TRIM(Q398))=0</formula>
    </cfRule>
    <cfRule type="cellIs" dxfId="2517" priority="4317" stopIfTrue="1" operator="between">
      <formula>80.1</formula>
      <formula>100</formula>
    </cfRule>
    <cfRule type="cellIs" dxfId="2516" priority="4318" stopIfTrue="1" operator="between">
      <formula>35.1</formula>
      <formula>80</formula>
    </cfRule>
    <cfRule type="cellIs" dxfId="2515" priority="4319" stopIfTrue="1" operator="between">
      <formula>14.1</formula>
      <formula>35</formula>
    </cfRule>
    <cfRule type="cellIs" dxfId="2514" priority="4320" stopIfTrue="1" operator="between">
      <formula>5.1</formula>
      <formula>14</formula>
    </cfRule>
    <cfRule type="cellIs" dxfId="2513" priority="4321" stopIfTrue="1" operator="between">
      <formula>0</formula>
      <formula>5</formula>
    </cfRule>
    <cfRule type="containsBlanks" dxfId="2512" priority="4322" stopIfTrue="1">
      <formula>LEN(TRIM(Q398))=0</formula>
    </cfRule>
  </conditionalFormatting>
  <conditionalFormatting sqref="Q400">
    <cfRule type="containsBlanks" dxfId="2511" priority="4309" stopIfTrue="1">
      <formula>LEN(TRIM(Q400))=0</formula>
    </cfRule>
    <cfRule type="cellIs" dxfId="2510" priority="4310" stopIfTrue="1" operator="between">
      <formula>80.1</formula>
      <formula>100</formula>
    </cfRule>
    <cfRule type="cellIs" dxfId="2509" priority="4311" stopIfTrue="1" operator="between">
      <formula>35.1</formula>
      <formula>80</formula>
    </cfRule>
    <cfRule type="cellIs" dxfId="2508" priority="4312" stopIfTrue="1" operator="between">
      <formula>14.1</formula>
      <formula>35</formula>
    </cfRule>
    <cfRule type="cellIs" dxfId="2507" priority="4313" stopIfTrue="1" operator="between">
      <formula>5.1</formula>
      <formula>14</formula>
    </cfRule>
    <cfRule type="cellIs" dxfId="2506" priority="4314" stopIfTrue="1" operator="between">
      <formula>0</formula>
      <formula>5</formula>
    </cfRule>
    <cfRule type="containsBlanks" dxfId="2505" priority="4315" stopIfTrue="1">
      <formula>LEN(TRIM(Q400))=0</formula>
    </cfRule>
  </conditionalFormatting>
  <conditionalFormatting sqref="Q401">
    <cfRule type="containsBlanks" dxfId="2504" priority="4302" stopIfTrue="1">
      <formula>LEN(TRIM(Q401))=0</formula>
    </cfRule>
    <cfRule type="cellIs" dxfId="2503" priority="4303" stopIfTrue="1" operator="between">
      <formula>80.1</formula>
      <formula>100</formula>
    </cfRule>
    <cfRule type="cellIs" dxfId="2502" priority="4304" stopIfTrue="1" operator="between">
      <formula>35.1</formula>
      <formula>80</formula>
    </cfRule>
    <cfRule type="cellIs" dxfId="2501" priority="4305" stopIfTrue="1" operator="between">
      <formula>14.1</formula>
      <formula>35</formula>
    </cfRule>
    <cfRule type="cellIs" dxfId="2500" priority="4306" stopIfTrue="1" operator="between">
      <formula>5.1</formula>
      <formula>14</formula>
    </cfRule>
    <cfRule type="cellIs" dxfId="2499" priority="4307" stopIfTrue="1" operator="between">
      <formula>0</formula>
      <formula>5</formula>
    </cfRule>
    <cfRule type="containsBlanks" dxfId="2498" priority="4308" stopIfTrue="1">
      <formula>LEN(TRIM(Q401))=0</formula>
    </cfRule>
  </conditionalFormatting>
  <conditionalFormatting sqref="R418">
    <cfRule type="cellIs" dxfId="2497" priority="3514" stopIfTrue="1" operator="equal">
      <formula>"NO"</formula>
    </cfRule>
  </conditionalFormatting>
  <conditionalFormatting sqref="Q418">
    <cfRule type="containsBlanks" dxfId="2496" priority="3501" stopIfTrue="1">
      <formula>LEN(TRIM(Q418))=0</formula>
    </cfRule>
    <cfRule type="cellIs" dxfId="2495" priority="3502" stopIfTrue="1" operator="between">
      <formula>80.1</formula>
      <formula>100</formula>
    </cfRule>
    <cfRule type="cellIs" dxfId="2494" priority="3503" stopIfTrue="1" operator="between">
      <formula>35.1</formula>
      <formula>80</formula>
    </cfRule>
    <cfRule type="cellIs" dxfId="2493" priority="3504" stopIfTrue="1" operator="between">
      <formula>14.1</formula>
      <formula>35</formula>
    </cfRule>
    <cfRule type="cellIs" dxfId="2492" priority="3505" stopIfTrue="1" operator="between">
      <formula>5.1</formula>
      <formula>14</formula>
    </cfRule>
    <cfRule type="cellIs" dxfId="2491" priority="3506" stopIfTrue="1" operator="between">
      <formula>0</formula>
      <formula>5</formula>
    </cfRule>
    <cfRule type="containsBlanks" dxfId="2490" priority="3507" stopIfTrue="1">
      <formula>LEN(TRIM(Q418))=0</formula>
    </cfRule>
  </conditionalFormatting>
  <conditionalFormatting sqref="Q418">
    <cfRule type="containsBlanks" dxfId="2489" priority="3494" stopIfTrue="1">
      <formula>LEN(TRIM(Q418))=0</formula>
    </cfRule>
    <cfRule type="cellIs" dxfId="2488" priority="3495" stopIfTrue="1" operator="between">
      <formula>80.1</formula>
      <formula>100</formula>
    </cfRule>
    <cfRule type="cellIs" dxfId="2487" priority="3496" stopIfTrue="1" operator="between">
      <formula>35.1</formula>
      <formula>80</formula>
    </cfRule>
    <cfRule type="cellIs" dxfId="2486" priority="3497" stopIfTrue="1" operator="between">
      <formula>14.1</formula>
      <formula>35</formula>
    </cfRule>
    <cfRule type="cellIs" dxfId="2485" priority="3498" stopIfTrue="1" operator="between">
      <formula>5.1</formula>
      <formula>14</formula>
    </cfRule>
    <cfRule type="cellIs" dxfId="2484" priority="3499" stopIfTrue="1" operator="between">
      <formula>0</formula>
      <formula>5</formula>
    </cfRule>
    <cfRule type="containsBlanks" dxfId="2483" priority="3500" stopIfTrue="1">
      <formula>LEN(TRIM(Q418))=0</formula>
    </cfRule>
  </conditionalFormatting>
  <conditionalFormatting sqref="R419">
    <cfRule type="cellIs" dxfId="2482" priority="3492" stopIfTrue="1" operator="equal">
      <formula>"NO"</formula>
    </cfRule>
  </conditionalFormatting>
  <conditionalFormatting sqref="Q419">
    <cfRule type="containsBlanks" dxfId="2481" priority="3479" stopIfTrue="1">
      <formula>LEN(TRIM(Q419))=0</formula>
    </cfRule>
    <cfRule type="cellIs" dxfId="2480" priority="3480" stopIfTrue="1" operator="between">
      <formula>80.1</formula>
      <formula>100</formula>
    </cfRule>
    <cfRule type="cellIs" dxfId="2479" priority="3481" stopIfTrue="1" operator="between">
      <formula>35.1</formula>
      <formula>80</formula>
    </cfRule>
    <cfRule type="cellIs" dxfId="2478" priority="3482" stopIfTrue="1" operator="between">
      <formula>14.1</formula>
      <formula>35</formula>
    </cfRule>
    <cfRule type="cellIs" dxfId="2477" priority="3483" stopIfTrue="1" operator="between">
      <formula>5.1</formula>
      <formula>14</formula>
    </cfRule>
    <cfRule type="cellIs" dxfId="2476" priority="3484" stopIfTrue="1" operator="between">
      <formula>0</formula>
      <formula>5</formula>
    </cfRule>
    <cfRule type="containsBlanks" dxfId="2475" priority="3485" stopIfTrue="1">
      <formula>LEN(TRIM(Q419))=0</formula>
    </cfRule>
  </conditionalFormatting>
  <conditionalFormatting sqref="Q419">
    <cfRule type="containsBlanks" dxfId="2474" priority="3472" stopIfTrue="1">
      <formula>LEN(TRIM(Q419))=0</formula>
    </cfRule>
    <cfRule type="cellIs" dxfId="2473" priority="3473" stopIfTrue="1" operator="between">
      <formula>80.1</formula>
      <formula>100</formula>
    </cfRule>
    <cfRule type="cellIs" dxfId="2472" priority="3474" stopIfTrue="1" operator="between">
      <formula>35.1</formula>
      <formula>80</formula>
    </cfRule>
    <cfRule type="cellIs" dxfId="2471" priority="3475" stopIfTrue="1" operator="between">
      <formula>14.1</formula>
      <formula>35</formula>
    </cfRule>
    <cfRule type="cellIs" dxfId="2470" priority="3476" stopIfTrue="1" operator="between">
      <formula>5.1</formula>
      <formula>14</formula>
    </cfRule>
    <cfRule type="cellIs" dxfId="2469" priority="3477" stopIfTrue="1" operator="between">
      <formula>0</formula>
      <formula>5</formula>
    </cfRule>
    <cfRule type="containsBlanks" dxfId="2468" priority="3478" stopIfTrue="1">
      <formula>LEN(TRIM(Q419))=0</formula>
    </cfRule>
  </conditionalFormatting>
  <conditionalFormatting sqref="R420">
    <cfRule type="cellIs" dxfId="2467" priority="3470" stopIfTrue="1" operator="equal">
      <formula>"NO"</formula>
    </cfRule>
  </conditionalFormatting>
  <conditionalFormatting sqref="Q420">
    <cfRule type="containsBlanks" dxfId="2466" priority="3457" stopIfTrue="1">
      <formula>LEN(TRIM(Q420))=0</formula>
    </cfRule>
    <cfRule type="cellIs" dxfId="2465" priority="3458" stopIfTrue="1" operator="between">
      <formula>80.1</formula>
      <formula>100</formula>
    </cfRule>
    <cfRule type="cellIs" dxfId="2464" priority="3459" stopIfTrue="1" operator="between">
      <formula>35.1</formula>
      <formula>80</formula>
    </cfRule>
    <cfRule type="cellIs" dxfId="2463" priority="3460" stopIfTrue="1" operator="between">
      <formula>14.1</formula>
      <formula>35</formula>
    </cfRule>
    <cfRule type="cellIs" dxfId="2462" priority="3461" stopIfTrue="1" operator="between">
      <formula>5.1</formula>
      <formula>14</formula>
    </cfRule>
    <cfRule type="cellIs" dxfId="2461" priority="3462" stopIfTrue="1" operator="between">
      <formula>0</formula>
      <formula>5</formula>
    </cfRule>
    <cfRule type="containsBlanks" dxfId="2460" priority="3463" stopIfTrue="1">
      <formula>LEN(TRIM(Q420))=0</formula>
    </cfRule>
  </conditionalFormatting>
  <conditionalFormatting sqref="Q420">
    <cfRule type="containsBlanks" dxfId="2459" priority="3450" stopIfTrue="1">
      <formula>LEN(TRIM(Q420))=0</formula>
    </cfRule>
    <cfRule type="cellIs" dxfId="2458" priority="3451" stopIfTrue="1" operator="between">
      <formula>80.1</formula>
      <formula>100</formula>
    </cfRule>
    <cfRule type="cellIs" dxfId="2457" priority="3452" stopIfTrue="1" operator="between">
      <formula>35.1</formula>
      <formula>80</formula>
    </cfRule>
    <cfRule type="cellIs" dxfId="2456" priority="3453" stopIfTrue="1" operator="between">
      <formula>14.1</formula>
      <formula>35</formula>
    </cfRule>
    <cfRule type="cellIs" dxfId="2455" priority="3454" stopIfTrue="1" operator="between">
      <formula>5.1</formula>
      <formula>14</formula>
    </cfRule>
    <cfRule type="cellIs" dxfId="2454" priority="3455" stopIfTrue="1" operator="between">
      <formula>0</formula>
      <formula>5</formula>
    </cfRule>
    <cfRule type="containsBlanks" dxfId="2453" priority="3456" stopIfTrue="1">
      <formula>LEN(TRIM(Q420))=0</formula>
    </cfRule>
  </conditionalFormatting>
  <conditionalFormatting sqref="R421">
    <cfRule type="cellIs" dxfId="2452" priority="3448" stopIfTrue="1" operator="equal">
      <formula>"NO"</formula>
    </cfRule>
  </conditionalFormatting>
  <conditionalFormatting sqref="Q421">
    <cfRule type="containsBlanks" dxfId="2451" priority="3435" stopIfTrue="1">
      <formula>LEN(TRIM(Q421))=0</formula>
    </cfRule>
    <cfRule type="cellIs" dxfId="2450" priority="3436" stopIfTrue="1" operator="between">
      <formula>80.1</formula>
      <formula>100</formula>
    </cfRule>
    <cfRule type="cellIs" dxfId="2449" priority="3437" stopIfTrue="1" operator="between">
      <formula>35.1</formula>
      <formula>80</formula>
    </cfRule>
    <cfRule type="cellIs" dxfId="2448" priority="3438" stopIfTrue="1" operator="between">
      <formula>14.1</formula>
      <formula>35</formula>
    </cfRule>
    <cfRule type="cellIs" dxfId="2447" priority="3439" stopIfTrue="1" operator="between">
      <formula>5.1</formula>
      <formula>14</formula>
    </cfRule>
    <cfRule type="cellIs" dxfId="2446" priority="3440" stopIfTrue="1" operator="between">
      <formula>0</formula>
      <formula>5</formula>
    </cfRule>
    <cfRule type="containsBlanks" dxfId="2445" priority="3441" stopIfTrue="1">
      <formula>LEN(TRIM(Q421))=0</formula>
    </cfRule>
  </conditionalFormatting>
  <conditionalFormatting sqref="Q421">
    <cfRule type="containsBlanks" dxfId="2444" priority="3428" stopIfTrue="1">
      <formula>LEN(TRIM(Q421))=0</formula>
    </cfRule>
    <cfRule type="cellIs" dxfId="2443" priority="3429" stopIfTrue="1" operator="between">
      <formula>80.1</formula>
      <formula>100</formula>
    </cfRule>
    <cfRule type="cellIs" dxfId="2442" priority="3430" stopIfTrue="1" operator="between">
      <formula>35.1</formula>
      <formula>80</formula>
    </cfRule>
    <cfRule type="cellIs" dxfId="2441" priority="3431" stopIfTrue="1" operator="between">
      <formula>14.1</formula>
      <formula>35</formula>
    </cfRule>
    <cfRule type="cellIs" dxfId="2440" priority="3432" stopIfTrue="1" operator="between">
      <formula>5.1</formula>
      <formula>14</formula>
    </cfRule>
    <cfRule type="cellIs" dxfId="2439" priority="3433" stopIfTrue="1" operator="between">
      <formula>0</formula>
      <formula>5</formula>
    </cfRule>
    <cfRule type="containsBlanks" dxfId="2438" priority="3434" stopIfTrue="1">
      <formula>LEN(TRIM(Q421))=0</formula>
    </cfRule>
  </conditionalFormatting>
  <conditionalFormatting sqref="R422">
    <cfRule type="cellIs" dxfId="2437" priority="3426" stopIfTrue="1" operator="equal">
      <formula>"NO"</formula>
    </cfRule>
  </conditionalFormatting>
  <conditionalFormatting sqref="Q422">
    <cfRule type="containsBlanks" dxfId="2436" priority="3413" stopIfTrue="1">
      <formula>LEN(TRIM(Q422))=0</formula>
    </cfRule>
    <cfRule type="cellIs" dxfId="2435" priority="3414" stopIfTrue="1" operator="between">
      <formula>80.1</formula>
      <formula>100</formula>
    </cfRule>
    <cfRule type="cellIs" dxfId="2434" priority="3415" stopIfTrue="1" operator="between">
      <formula>35.1</formula>
      <formula>80</formula>
    </cfRule>
    <cfRule type="cellIs" dxfId="2433" priority="3416" stopIfTrue="1" operator="between">
      <formula>14.1</formula>
      <formula>35</formula>
    </cfRule>
    <cfRule type="cellIs" dxfId="2432" priority="3417" stopIfTrue="1" operator="between">
      <formula>5.1</formula>
      <formula>14</formula>
    </cfRule>
    <cfRule type="cellIs" dxfId="2431" priority="3418" stopIfTrue="1" operator="between">
      <formula>0</formula>
      <formula>5</formula>
    </cfRule>
    <cfRule type="containsBlanks" dxfId="2430" priority="3419" stopIfTrue="1">
      <formula>LEN(TRIM(Q422))=0</formula>
    </cfRule>
  </conditionalFormatting>
  <conditionalFormatting sqref="Q422">
    <cfRule type="containsBlanks" dxfId="2429" priority="3406" stopIfTrue="1">
      <formula>LEN(TRIM(Q422))=0</formula>
    </cfRule>
    <cfRule type="cellIs" dxfId="2428" priority="3407" stopIfTrue="1" operator="between">
      <formula>80.1</formula>
      <formula>100</formula>
    </cfRule>
    <cfRule type="cellIs" dxfId="2427" priority="3408" stopIfTrue="1" operator="between">
      <formula>35.1</formula>
      <formula>80</formula>
    </cfRule>
    <cfRule type="cellIs" dxfId="2426" priority="3409" stopIfTrue="1" operator="between">
      <formula>14.1</formula>
      <formula>35</formula>
    </cfRule>
    <cfRule type="cellIs" dxfId="2425" priority="3410" stopIfTrue="1" operator="between">
      <formula>5.1</formula>
      <formula>14</formula>
    </cfRule>
    <cfRule type="cellIs" dxfId="2424" priority="3411" stopIfTrue="1" operator="between">
      <formula>0</formula>
      <formula>5</formula>
    </cfRule>
    <cfRule type="containsBlanks" dxfId="2423" priority="3412" stopIfTrue="1">
      <formula>LEN(TRIM(Q422))=0</formula>
    </cfRule>
  </conditionalFormatting>
  <conditionalFormatting sqref="R423">
    <cfRule type="cellIs" dxfId="2422" priority="3404" stopIfTrue="1" operator="equal">
      <formula>"NO"</formula>
    </cfRule>
  </conditionalFormatting>
  <conditionalFormatting sqref="Q423">
    <cfRule type="containsBlanks" dxfId="2421" priority="3391" stopIfTrue="1">
      <formula>LEN(TRIM(Q423))=0</formula>
    </cfRule>
    <cfRule type="cellIs" dxfId="2420" priority="3392" stopIfTrue="1" operator="between">
      <formula>80.1</formula>
      <formula>100</formula>
    </cfRule>
    <cfRule type="cellIs" dxfId="2419" priority="3393" stopIfTrue="1" operator="between">
      <formula>35.1</formula>
      <formula>80</formula>
    </cfRule>
    <cfRule type="cellIs" dxfId="2418" priority="3394" stopIfTrue="1" operator="between">
      <formula>14.1</formula>
      <formula>35</formula>
    </cfRule>
    <cfRule type="cellIs" dxfId="2417" priority="3395" stopIfTrue="1" operator="between">
      <formula>5.1</formula>
      <formula>14</formula>
    </cfRule>
    <cfRule type="cellIs" dxfId="2416" priority="3396" stopIfTrue="1" operator="between">
      <formula>0</formula>
      <formula>5</formula>
    </cfRule>
    <cfRule type="containsBlanks" dxfId="2415" priority="3397" stopIfTrue="1">
      <formula>LEN(TRIM(Q423))=0</formula>
    </cfRule>
  </conditionalFormatting>
  <conditionalFormatting sqref="Q423">
    <cfRule type="containsBlanks" dxfId="2414" priority="3384" stopIfTrue="1">
      <formula>LEN(TRIM(Q423))=0</formula>
    </cfRule>
    <cfRule type="cellIs" dxfId="2413" priority="3385" stopIfTrue="1" operator="between">
      <formula>80.1</formula>
      <formula>100</formula>
    </cfRule>
    <cfRule type="cellIs" dxfId="2412" priority="3386" stopIfTrue="1" operator="between">
      <formula>35.1</formula>
      <formula>80</formula>
    </cfRule>
    <cfRule type="cellIs" dxfId="2411" priority="3387" stopIfTrue="1" operator="between">
      <formula>14.1</formula>
      <formula>35</formula>
    </cfRule>
    <cfRule type="cellIs" dxfId="2410" priority="3388" stopIfTrue="1" operator="between">
      <formula>5.1</formula>
      <formula>14</formula>
    </cfRule>
    <cfRule type="cellIs" dxfId="2409" priority="3389" stopIfTrue="1" operator="between">
      <formula>0</formula>
      <formula>5</formula>
    </cfRule>
    <cfRule type="containsBlanks" dxfId="2408" priority="3390" stopIfTrue="1">
      <formula>LEN(TRIM(Q423))=0</formula>
    </cfRule>
  </conditionalFormatting>
  <conditionalFormatting sqref="R424">
    <cfRule type="cellIs" dxfId="2407" priority="3382" stopIfTrue="1" operator="equal">
      <formula>"NO"</formula>
    </cfRule>
  </conditionalFormatting>
  <conditionalFormatting sqref="Q424">
    <cfRule type="containsBlanks" dxfId="2406" priority="3369" stopIfTrue="1">
      <formula>LEN(TRIM(Q424))=0</formula>
    </cfRule>
    <cfRule type="cellIs" dxfId="2405" priority="3370" stopIfTrue="1" operator="between">
      <formula>80.1</formula>
      <formula>100</formula>
    </cfRule>
    <cfRule type="cellIs" dxfId="2404" priority="3371" stopIfTrue="1" operator="between">
      <formula>35.1</formula>
      <formula>80</formula>
    </cfRule>
    <cfRule type="cellIs" dxfId="2403" priority="3372" stopIfTrue="1" operator="between">
      <formula>14.1</formula>
      <formula>35</formula>
    </cfRule>
    <cfRule type="cellIs" dxfId="2402" priority="3373" stopIfTrue="1" operator="between">
      <formula>5.1</formula>
      <formula>14</formula>
    </cfRule>
    <cfRule type="cellIs" dxfId="2401" priority="3374" stopIfTrue="1" operator="between">
      <formula>0</formula>
      <formula>5</formula>
    </cfRule>
    <cfRule type="containsBlanks" dxfId="2400" priority="3375" stopIfTrue="1">
      <formula>LEN(TRIM(Q424))=0</formula>
    </cfRule>
  </conditionalFormatting>
  <conditionalFormatting sqref="Q424">
    <cfRule type="containsBlanks" dxfId="2399" priority="3362" stopIfTrue="1">
      <formula>LEN(TRIM(Q424))=0</formula>
    </cfRule>
    <cfRule type="cellIs" dxfId="2398" priority="3363" stopIfTrue="1" operator="between">
      <formula>80.1</formula>
      <formula>100</formula>
    </cfRule>
    <cfRule type="cellIs" dxfId="2397" priority="3364" stopIfTrue="1" operator="between">
      <formula>35.1</formula>
      <formula>80</formula>
    </cfRule>
    <cfRule type="cellIs" dxfId="2396" priority="3365" stopIfTrue="1" operator="between">
      <formula>14.1</formula>
      <formula>35</formula>
    </cfRule>
    <cfRule type="cellIs" dxfId="2395" priority="3366" stopIfTrue="1" operator="between">
      <formula>5.1</formula>
      <formula>14</formula>
    </cfRule>
    <cfRule type="cellIs" dxfId="2394" priority="3367" stopIfTrue="1" operator="between">
      <formula>0</formula>
      <formula>5</formula>
    </cfRule>
    <cfRule type="containsBlanks" dxfId="2393" priority="3368" stopIfTrue="1">
      <formula>LEN(TRIM(Q424))=0</formula>
    </cfRule>
  </conditionalFormatting>
  <conditionalFormatting sqref="R427">
    <cfRule type="cellIs" dxfId="2392" priority="3338" stopIfTrue="1" operator="equal">
      <formula>"NO"</formula>
    </cfRule>
  </conditionalFormatting>
  <conditionalFormatting sqref="Q427">
    <cfRule type="containsBlanks" dxfId="2391" priority="3325" stopIfTrue="1">
      <formula>LEN(TRIM(Q427))=0</formula>
    </cfRule>
    <cfRule type="cellIs" dxfId="2390" priority="3326" stopIfTrue="1" operator="between">
      <formula>80.1</formula>
      <formula>100</formula>
    </cfRule>
    <cfRule type="cellIs" dxfId="2389" priority="3327" stopIfTrue="1" operator="between">
      <formula>35.1</formula>
      <formula>80</formula>
    </cfRule>
    <cfRule type="cellIs" dxfId="2388" priority="3328" stopIfTrue="1" operator="between">
      <formula>14.1</formula>
      <formula>35</formula>
    </cfRule>
    <cfRule type="cellIs" dxfId="2387" priority="3329" stopIfTrue="1" operator="between">
      <formula>5.1</formula>
      <formula>14</formula>
    </cfRule>
    <cfRule type="cellIs" dxfId="2386" priority="3330" stopIfTrue="1" operator="between">
      <formula>0</formula>
      <formula>5</formula>
    </cfRule>
    <cfRule type="containsBlanks" dxfId="2385" priority="3331" stopIfTrue="1">
      <formula>LEN(TRIM(Q427))=0</formula>
    </cfRule>
  </conditionalFormatting>
  <conditionalFormatting sqref="Q427">
    <cfRule type="containsBlanks" dxfId="2384" priority="3318" stopIfTrue="1">
      <formula>LEN(TRIM(Q427))=0</formula>
    </cfRule>
    <cfRule type="cellIs" dxfId="2383" priority="3319" stopIfTrue="1" operator="between">
      <formula>80.1</formula>
      <formula>100</formula>
    </cfRule>
    <cfRule type="cellIs" dxfId="2382" priority="3320" stopIfTrue="1" operator="between">
      <formula>35.1</formula>
      <formula>80</formula>
    </cfRule>
    <cfRule type="cellIs" dxfId="2381" priority="3321" stopIfTrue="1" operator="between">
      <formula>14.1</formula>
      <formula>35</formula>
    </cfRule>
    <cfRule type="cellIs" dxfId="2380" priority="3322" stopIfTrue="1" operator="between">
      <formula>5.1</formula>
      <formula>14</formula>
    </cfRule>
    <cfRule type="cellIs" dxfId="2379" priority="3323" stopIfTrue="1" operator="between">
      <formula>0</formula>
      <formula>5</formula>
    </cfRule>
    <cfRule type="containsBlanks" dxfId="2378" priority="3324" stopIfTrue="1">
      <formula>LEN(TRIM(Q427))=0</formula>
    </cfRule>
  </conditionalFormatting>
  <conditionalFormatting sqref="R428">
    <cfRule type="cellIs" dxfId="2377" priority="3316" stopIfTrue="1" operator="equal">
      <formula>"NO"</formula>
    </cfRule>
  </conditionalFormatting>
  <conditionalFormatting sqref="Q428">
    <cfRule type="containsBlanks" dxfId="2376" priority="3303" stopIfTrue="1">
      <formula>LEN(TRIM(Q428))=0</formula>
    </cfRule>
    <cfRule type="cellIs" dxfId="2375" priority="3304" stopIfTrue="1" operator="between">
      <formula>80.1</formula>
      <formula>100</formula>
    </cfRule>
    <cfRule type="cellIs" dxfId="2374" priority="3305" stopIfTrue="1" operator="between">
      <formula>35.1</formula>
      <formula>80</formula>
    </cfRule>
    <cfRule type="cellIs" dxfId="2373" priority="3306" stopIfTrue="1" operator="between">
      <formula>14.1</formula>
      <formula>35</formula>
    </cfRule>
    <cfRule type="cellIs" dxfId="2372" priority="3307" stopIfTrue="1" operator="between">
      <formula>5.1</formula>
      <formula>14</formula>
    </cfRule>
    <cfRule type="cellIs" dxfId="2371" priority="3308" stopIfTrue="1" operator="between">
      <formula>0</formula>
      <formula>5</formula>
    </cfRule>
    <cfRule type="containsBlanks" dxfId="2370" priority="3309" stopIfTrue="1">
      <formula>LEN(TRIM(Q428))=0</formula>
    </cfRule>
  </conditionalFormatting>
  <conditionalFormatting sqref="Q428">
    <cfRule type="containsBlanks" dxfId="2369" priority="3296" stopIfTrue="1">
      <formula>LEN(TRIM(Q428))=0</formula>
    </cfRule>
    <cfRule type="cellIs" dxfId="2368" priority="3297" stopIfTrue="1" operator="between">
      <formula>80.1</formula>
      <formula>100</formula>
    </cfRule>
    <cfRule type="cellIs" dxfId="2367" priority="3298" stopIfTrue="1" operator="between">
      <formula>35.1</formula>
      <formula>80</formula>
    </cfRule>
    <cfRule type="cellIs" dxfId="2366" priority="3299" stopIfTrue="1" operator="between">
      <formula>14.1</formula>
      <formula>35</formula>
    </cfRule>
    <cfRule type="cellIs" dxfId="2365" priority="3300" stopIfTrue="1" operator="between">
      <formula>5.1</formula>
      <formula>14</formula>
    </cfRule>
    <cfRule type="cellIs" dxfId="2364" priority="3301" stopIfTrue="1" operator="between">
      <formula>0</formula>
      <formula>5</formula>
    </cfRule>
    <cfRule type="containsBlanks" dxfId="2363" priority="3302" stopIfTrue="1">
      <formula>LEN(TRIM(Q428))=0</formula>
    </cfRule>
  </conditionalFormatting>
  <conditionalFormatting sqref="R429">
    <cfRule type="cellIs" dxfId="2362" priority="3294" stopIfTrue="1" operator="equal">
      <formula>"NO"</formula>
    </cfRule>
  </conditionalFormatting>
  <conditionalFormatting sqref="Q429">
    <cfRule type="containsBlanks" dxfId="2361" priority="3281" stopIfTrue="1">
      <formula>LEN(TRIM(Q429))=0</formula>
    </cfRule>
    <cfRule type="cellIs" dxfId="2360" priority="3282" stopIfTrue="1" operator="between">
      <formula>80.1</formula>
      <formula>100</formula>
    </cfRule>
    <cfRule type="cellIs" dxfId="2359" priority="3283" stopIfTrue="1" operator="between">
      <formula>35.1</formula>
      <formula>80</formula>
    </cfRule>
    <cfRule type="cellIs" dxfId="2358" priority="3284" stopIfTrue="1" operator="between">
      <formula>14.1</formula>
      <formula>35</formula>
    </cfRule>
    <cfRule type="cellIs" dxfId="2357" priority="3285" stopIfTrue="1" operator="between">
      <formula>5.1</formula>
      <formula>14</formula>
    </cfRule>
    <cfRule type="cellIs" dxfId="2356" priority="3286" stopIfTrue="1" operator="between">
      <formula>0</formula>
      <formula>5</formula>
    </cfRule>
    <cfRule type="containsBlanks" dxfId="2355" priority="3287" stopIfTrue="1">
      <formula>LEN(TRIM(Q429))=0</formula>
    </cfRule>
  </conditionalFormatting>
  <conditionalFormatting sqref="Q429">
    <cfRule type="containsBlanks" dxfId="2354" priority="3274" stopIfTrue="1">
      <formula>LEN(TRIM(Q429))=0</formula>
    </cfRule>
    <cfRule type="cellIs" dxfId="2353" priority="3275" stopIfTrue="1" operator="between">
      <formula>80.1</formula>
      <formula>100</formula>
    </cfRule>
    <cfRule type="cellIs" dxfId="2352" priority="3276" stopIfTrue="1" operator="between">
      <formula>35.1</formula>
      <formula>80</formula>
    </cfRule>
    <cfRule type="cellIs" dxfId="2351" priority="3277" stopIfTrue="1" operator="between">
      <formula>14.1</formula>
      <formula>35</formula>
    </cfRule>
    <cfRule type="cellIs" dxfId="2350" priority="3278" stopIfTrue="1" operator="between">
      <formula>5.1</formula>
      <formula>14</formula>
    </cfRule>
    <cfRule type="cellIs" dxfId="2349" priority="3279" stopIfTrue="1" operator="between">
      <formula>0</formula>
      <formula>5</formula>
    </cfRule>
    <cfRule type="containsBlanks" dxfId="2348" priority="3280" stopIfTrue="1">
      <formula>LEN(TRIM(Q429))=0</formula>
    </cfRule>
  </conditionalFormatting>
  <conditionalFormatting sqref="R430">
    <cfRule type="cellIs" dxfId="2347" priority="3272" stopIfTrue="1" operator="equal">
      <formula>"NO"</formula>
    </cfRule>
  </conditionalFormatting>
  <conditionalFormatting sqref="Q430">
    <cfRule type="containsBlanks" dxfId="2346" priority="3259" stopIfTrue="1">
      <formula>LEN(TRIM(Q430))=0</formula>
    </cfRule>
    <cfRule type="cellIs" dxfId="2345" priority="3260" stopIfTrue="1" operator="between">
      <formula>80.1</formula>
      <formula>100</formula>
    </cfRule>
    <cfRule type="cellIs" dxfId="2344" priority="3261" stopIfTrue="1" operator="between">
      <formula>35.1</formula>
      <formula>80</formula>
    </cfRule>
    <cfRule type="cellIs" dxfId="2343" priority="3262" stopIfTrue="1" operator="between">
      <formula>14.1</formula>
      <formula>35</formula>
    </cfRule>
    <cfRule type="cellIs" dxfId="2342" priority="3263" stopIfTrue="1" operator="between">
      <formula>5.1</formula>
      <formula>14</formula>
    </cfRule>
    <cfRule type="cellIs" dxfId="2341" priority="3264" stopIfTrue="1" operator="between">
      <formula>0</formula>
      <formula>5</formula>
    </cfRule>
    <cfRule type="containsBlanks" dxfId="2340" priority="3265" stopIfTrue="1">
      <formula>LEN(TRIM(Q430))=0</formula>
    </cfRule>
  </conditionalFormatting>
  <conditionalFormatting sqref="Q430">
    <cfRule type="containsBlanks" dxfId="2339" priority="3252" stopIfTrue="1">
      <formula>LEN(TRIM(Q430))=0</formula>
    </cfRule>
    <cfRule type="cellIs" dxfId="2338" priority="3253" stopIfTrue="1" operator="between">
      <formula>80.1</formula>
      <formula>100</formula>
    </cfRule>
    <cfRule type="cellIs" dxfId="2337" priority="3254" stopIfTrue="1" operator="between">
      <formula>35.1</formula>
      <formula>80</formula>
    </cfRule>
    <cfRule type="cellIs" dxfId="2336" priority="3255" stopIfTrue="1" operator="between">
      <formula>14.1</formula>
      <formula>35</formula>
    </cfRule>
    <cfRule type="cellIs" dxfId="2335" priority="3256" stopIfTrue="1" operator="between">
      <formula>5.1</formula>
      <formula>14</formula>
    </cfRule>
    <cfRule type="cellIs" dxfId="2334" priority="3257" stopIfTrue="1" operator="between">
      <formula>0</formula>
      <formula>5</formula>
    </cfRule>
    <cfRule type="containsBlanks" dxfId="2333" priority="3258" stopIfTrue="1">
      <formula>LEN(TRIM(Q430))=0</formula>
    </cfRule>
  </conditionalFormatting>
  <conditionalFormatting sqref="R431">
    <cfRule type="cellIs" dxfId="2332" priority="3250" stopIfTrue="1" operator="equal">
      <formula>"NO"</formula>
    </cfRule>
  </conditionalFormatting>
  <conditionalFormatting sqref="Q431">
    <cfRule type="containsBlanks" dxfId="2331" priority="3237" stopIfTrue="1">
      <formula>LEN(TRIM(Q431))=0</formula>
    </cfRule>
    <cfRule type="cellIs" dxfId="2330" priority="3238" stopIfTrue="1" operator="between">
      <formula>80.1</formula>
      <formula>100</formula>
    </cfRule>
    <cfRule type="cellIs" dxfId="2329" priority="3239" stopIfTrue="1" operator="between">
      <formula>35.1</formula>
      <formula>80</formula>
    </cfRule>
    <cfRule type="cellIs" dxfId="2328" priority="3240" stopIfTrue="1" operator="between">
      <formula>14.1</formula>
      <formula>35</formula>
    </cfRule>
    <cfRule type="cellIs" dxfId="2327" priority="3241" stopIfTrue="1" operator="between">
      <formula>5.1</formula>
      <formula>14</formula>
    </cfRule>
    <cfRule type="cellIs" dxfId="2326" priority="3242" stopIfTrue="1" operator="between">
      <formula>0</formula>
      <formula>5</formula>
    </cfRule>
    <cfRule type="containsBlanks" dxfId="2325" priority="3243" stopIfTrue="1">
      <formula>LEN(TRIM(Q431))=0</formula>
    </cfRule>
  </conditionalFormatting>
  <conditionalFormatting sqref="Q431">
    <cfRule type="containsBlanks" dxfId="2324" priority="3230" stopIfTrue="1">
      <formula>LEN(TRIM(Q431))=0</formula>
    </cfRule>
    <cfRule type="cellIs" dxfId="2323" priority="3231" stopIfTrue="1" operator="between">
      <formula>80.1</formula>
      <formula>100</formula>
    </cfRule>
    <cfRule type="cellIs" dxfId="2322" priority="3232" stopIfTrue="1" operator="between">
      <formula>35.1</formula>
      <formula>80</formula>
    </cfRule>
    <cfRule type="cellIs" dxfId="2321" priority="3233" stopIfTrue="1" operator="between">
      <formula>14.1</formula>
      <formula>35</formula>
    </cfRule>
    <cfRule type="cellIs" dxfId="2320" priority="3234" stopIfTrue="1" operator="between">
      <formula>5.1</formula>
      <formula>14</formula>
    </cfRule>
    <cfRule type="cellIs" dxfId="2319" priority="3235" stopIfTrue="1" operator="between">
      <formula>0</formula>
      <formula>5</formula>
    </cfRule>
    <cfRule type="containsBlanks" dxfId="2318" priority="3236" stopIfTrue="1">
      <formula>LEN(TRIM(Q431))=0</formula>
    </cfRule>
  </conditionalFormatting>
  <conditionalFormatting sqref="R432">
    <cfRule type="cellIs" dxfId="2317" priority="3228" stopIfTrue="1" operator="equal">
      <formula>"NO"</formula>
    </cfRule>
  </conditionalFormatting>
  <conditionalFormatting sqref="Q432">
    <cfRule type="containsBlanks" dxfId="2316" priority="3215" stopIfTrue="1">
      <formula>LEN(TRIM(Q432))=0</formula>
    </cfRule>
    <cfRule type="cellIs" dxfId="2315" priority="3216" stopIfTrue="1" operator="between">
      <formula>80.1</formula>
      <formula>100</formula>
    </cfRule>
    <cfRule type="cellIs" dxfId="2314" priority="3217" stopIfTrue="1" operator="between">
      <formula>35.1</formula>
      <formula>80</formula>
    </cfRule>
    <cfRule type="cellIs" dxfId="2313" priority="3218" stopIfTrue="1" operator="between">
      <formula>14.1</formula>
      <formula>35</formula>
    </cfRule>
    <cfRule type="cellIs" dxfId="2312" priority="3219" stopIfTrue="1" operator="between">
      <formula>5.1</formula>
      <formula>14</formula>
    </cfRule>
    <cfRule type="cellIs" dxfId="2311" priority="3220" stopIfTrue="1" operator="between">
      <formula>0</formula>
      <formula>5</formula>
    </cfRule>
    <cfRule type="containsBlanks" dxfId="2310" priority="3221" stopIfTrue="1">
      <formula>LEN(TRIM(Q432))=0</formula>
    </cfRule>
  </conditionalFormatting>
  <conditionalFormatting sqref="Q432">
    <cfRule type="containsBlanks" dxfId="2309" priority="3208" stopIfTrue="1">
      <formula>LEN(TRIM(Q432))=0</formula>
    </cfRule>
    <cfRule type="cellIs" dxfId="2308" priority="3209" stopIfTrue="1" operator="between">
      <formula>80.1</formula>
      <formula>100</formula>
    </cfRule>
    <cfRule type="cellIs" dxfId="2307" priority="3210" stopIfTrue="1" operator="between">
      <formula>35.1</formula>
      <formula>80</formula>
    </cfRule>
    <cfRule type="cellIs" dxfId="2306" priority="3211" stopIfTrue="1" operator="between">
      <formula>14.1</formula>
      <formula>35</formula>
    </cfRule>
    <cfRule type="cellIs" dxfId="2305" priority="3212" stopIfTrue="1" operator="between">
      <formula>5.1</formula>
      <formula>14</formula>
    </cfRule>
    <cfRule type="cellIs" dxfId="2304" priority="3213" stopIfTrue="1" operator="between">
      <formula>0</formula>
      <formula>5</formula>
    </cfRule>
    <cfRule type="containsBlanks" dxfId="2303" priority="3214" stopIfTrue="1">
      <formula>LEN(TRIM(Q432))=0</formula>
    </cfRule>
  </conditionalFormatting>
  <conditionalFormatting sqref="R433">
    <cfRule type="cellIs" dxfId="2302" priority="3206" stopIfTrue="1" operator="equal">
      <formula>"NO"</formula>
    </cfRule>
  </conditionalFormatting>
  <conditionalFormatting sqref="Q433">
    <cfRule type="containsBlanks" dxfId="2301" priority="3193" stopIfTrue="1">
      <formula>LEN(TRIM(Q433))=0</formula>
    </cfRule>
    <cfRule type="cellIs" dxfId="2300" priority="3194" stopIfTrue="1" operator="between">
      <formula>80.1</formula>
      <formula>100</formula>
    </cfRule>
    <cfRule type="cellIs" dxfId="2299" priority="3195" stopIfTrue="1" operator="between">
      <formula>35.1</formula>
      <formula>80</formula>
    </cfRule>
    <cfRule type="cellIs" dxfId="2298" priority="3196" stopIfTrue="1" operator="between">
      <formula>14.1</formula>
      <formula>35</formula>
    </cfRule>
    <cfRule type="cellIs" dxfId="2297" priority="3197" stopIfTrue="1" operator="between">
      <formula>5.1</formula>
      <formula>14</formula>
    </cfRule>
    <cfRule type="cellIs" dxfId="2296" priority="3198" stopIfTrue="1" operator="between">
      <formula>0</formula>
      <formula>5</formula>
    </cfRule>
    <cfRule type="containsBlanks" dxfId="2295" priority="3199" stopIfTrue="1">
      <formula>LEN(TRIM(Q433))=0</formula>
    </cfRule>
  </conditionalFormatting>
  <conditionalFormatting sqref="Q433">
    <cfRule type="containsBlanks" dxfId="2294" priority="3186" stopIfTrue="1">
      <formula>LEN(TRIM(Q433))=0</formula>
    </cfRule>
    <cfRule type="cellIs" dxfId="2293" priority="3187" stopIfTrue="1" operator="between">
      <formula>80.1</formula>
      <formula>100</formula>
    </cfRule>
    <cfRule type="cellIs" dxfId="2292" priority="3188" stopIfTrue="1" operator="between">
      <formula>35.1</formula>
      <formula>80</formula>
    </cfRule>
    <cfRule type="cellIs" dxfId="2291" priority="3189" stopIfTrue="1" operator="between">
      <formula>14.1</formula>
      <formula>35</formula>
    </cfRule>
    <cfRule type="cellIs" dxfId="2290" priority="3190" stopIfTrue="1" operator="between">
      <formula>5.1</formula>
      <formula>14</formula>
    </cfRule>
    <cfRule type="cellIs" dxfId="2289" priority="3191" stopIfTrue="1" operator="between">
      <formula>0</formula>
      <formula>5</formula>
    </cfRule>
    <cfRule type="containsBlanks" dxfId="2288" priority="3192" stopIfTrue="1">
      <formula>LEN(TRIM(Q433))=0</formula>
    </cfRule>
  </conditionalFormatting>
  <conditionalFormatting sqref="R434">
    <cfRule type="cellIs" dxfId="2287" priority="3184" stopIfTrue="1" operator="equal">
      <formula>"NO"</formula>
    </cfRule>
  </conditionalFormatting>
  <conditionalFormatting sqref="Q434">
    <cfRule type="containsBlanks" dxfId="2286" priority="3171" stopIfTrue="1">
      <formula>LEN(TRIM(Q434))=0</formula>
    </cfRule>
    <cfRule type="cellIs" dxfId="2285" priority="3172" stopIfTrue="1" operator="between">
      <formula>80.1</formula>
      <formula>100</formula>
    </cfRule>
    <cfRule type="cellIs" dxfId="2284" priority="3173" stopIfTrue="1" operator="between">
      <formula>35.1</formula>
      <formula>80</formula>
    </cfRule>
    <cfRule type="cellIs" dxfId="2283" priority="3174" stopIfTrue="1" operator="between">
      <formula>14.1</formula>
      <formula>35</formula>
    </cfRule>
    <cfRule type="cellIs" dxfId="2282" priority="3175" stopIfTrue="1" operator="between">
      <formula>5.1</formula>
      <formula>14</formula>
    </cfRule>
    <cfRule type="cellIs" dxfId="2281" priority="3176" stopIfTrue="1" operator="between">
      <formula>0</formula>
      <formula>5</formula>
    </cfRule>
    <cfRule type="containsBlanks" dxfId="2280" priority="3177" stopIfTrue="1">
      <formula>LEN(TRIM(Q434))=0</formula>
    </cfRule>
  </conditionalFormatting>
  <conditionalFormatting sqref="Q434">
    <cfRule type="containsBlanks" dxfId="2279" priority="3164" stopIfTrue="1">
      <formula>LEN(TRIM(Q434))=0</formula>
    </cfRule>
    <cfRule type="cellIs" dxfId="2278" priority="3165" stopIfTrue="1" operator="between">
      <formula>80.1</formula>
      <formula>100</formula>
    </cfRule>
    <cfRule type="cellIs" dxfId="2277" priority="3166" stopIfTrue="1" operator="between">
      <formula>35.1</formula>
      <formula>80</formula>
    </cfRule>
    <cfRule type="cellIs" dxfId="2276" priority="3167" stopIfTrue="1" operator="between">
      <formula>14.1</formula>
      <formula>35</formula>
    </cfRule>
    <cfRule type="cellIs" dxfId="2275" priority="3168" stopIfTrue="1" operator="between">
      <formula>5.1</formula>
      <formula>14</formula>
    </cfRule>
    <cfRule type="cellIs" dxfId="2274" priority="3169" stopIfTrue="1" operator="between">
      <formula>0</formula>
      <formula>5</formula>
    </cfRule>
    <cfRule type="containsBlanks" dxfId="2273" priority="3170" stopIfTrue="1">
      <formula>LEN(TRIM(Q434))=0</formula>
    </cfRule>
  </conditionalFormatting>
  <conditionalFormatting sqref="R435">
    <cfRule type="cellIs" dxfId="2272" priority="3162" stopIfTrue="1" operator="equal">
      <formula>"NO"</formula>
    </cfRule>
  </conditionalFormatting>
  <conditionalFormatting sqref="Q435">
    <cfRule type="containsBlanks" dxfId="2271" priority="3149" stopIfTrue="1">
      <formula>LEN(TRIM(Q435))=0</formula>
    </cfRule>
    <cfRule type="cellIs" dxfId="2270" priority="3150" stopIfTrue="1" operator="between">
      <formula>80.1</formula>
      <formula>100</formula>
    </cfRule>
    <cfRule type="cellIs" dxfId="2269" priority="3151" stopIfTrue="1" operator="between">
      <formula>35.1</formula>
      <formula>80</formula>
    </cfRule>
    <cfRule type="cellIs" dxfId="2268" priority="3152" stopIfTrue="1" operator="between">
      <formula>14.1</formula>
      <formula>35</formula>
    </cfRule>
    <cfRule type="cellIs" dxfId="2267" priority="3153" stopIfTrue="1" operator="between">
      <formula>5.1</formula>
      <formula>14</formula>
    </cfRule>
    <cfRule type="cellIs" dxfId="2266" priority="3154" stopIfTrue="1" operator="between">
      <formula>0</formula>
      <formula>5</formula>
    </cfRule>
    <cfRule type="containsBlanks" dxfId="2265" priority="3155" stopIfTrue="1">
      <formula>LEN(TRIM(Q435))=0</formula>
    </cfRule>
  </conditionalFormatting>
  <conditionalFormatting sqref="Q435">
    <cfRule type="containsBlanks" dxfId="2264" priority="3142" stopIfTrue="1">
      <formula>LEN(TRIM(Q435))=0</formula>
    </cfRule>
    <cfRule type="cellIs" dxfId="2263" priority="3143" stopIfTrue="1" operator="between">
      <formula>80.1</formula>
      <formula>100</formula>
    </cfRule>
    <cfRule type="cellIs" dxfId="2262" priority="3144" stopIfTrue="1" operator="between">
      <formula>35.1</formula>
      <formula>80</formula>
    </cfRule>
    <cfRule type="cellIs" dxfId="2261" priority="3145" stopIfTrue="1" operator="between">
      <formula>14.1</formula>
      <formula>35</formula>
    </cfRule>
    <cfRule type="cellIs" dxfId="2260" priority="3146" stopIfTrue="1" operator="between">
      <formula>5.1</formula>
      <formula>14</formula>
    </cfRule>
    <cfRule type="cellIs" dxfId="2259" priority="3147" stopIfTrue="1" operator="between">
      <formula>0</formula>
      <formula>5</formula>
    </cfRule>
    <cfRule type="containsBlanks" dxfId="2258" priority="3148" stopIfTrue="1">
      <formula>LEN(TRIM(Q435))=0</formula>
    </cfRule>
  </conditionalFormatting>
  <conditionalFormatting sqref="R437">
    <cfRule type="cellIs" dxfId="2257" priority="3140" stopIfTrue="1" operator="equal">
      <formula>"NO"</formula>
    </cfRule>
  </conditionalFormatting>
  <conditionalFormatting sqref="Q437">
    <cfRule type="containsBlanks" dxfId="2256" priority="3127" stopIfTrue="1">
      <formula>LEN(TRIM(Q437))=0</formula>
    </cfRule>
    <cfRule type="cellIs" dxfId="2255" priority="3128" stopIfTrue="1" operator="between">
      <formula>80.1</formula>
      <formula>100</formula>
    </cfRule>
    <cfRule type="cellIs" dxfId="2254" priority="3129" stopIfTrue="1" operator="between">
      <formula>35.1</formula>
      <formula>80</formula>
    </cfRule>
    <cfRule type="cellIs" dxfId="2253" priority="3130" stopIfTrue="1" operator="between">
      <formula>14.1</formula>
      <formula>35</formula>
    </cfRule>
    <cfRule type="cellIs" dxfId="2252" priority="3131" stopIfTrue="1" operator="between">
      <formula>5.1</formula>
      <formula>14</formula>
    </cfRule>
    <cfRule type="cellIs" dxfId="2251" priority="3132" stopIfTrue="1" operator="between">
      <formula>0</formula>
      <formula>5</formula>
    </cfRule>
    <cfRule type="containsBlanks" dxfId="2250" priority="3133" stopIfTrue="1">
      <formula>LEN(TRIM(Q437))=0</formula>
    </cfRule>
  </conditionalFormatting>
  <conditionalFormatting sqref="Q437">
    <cfRule type="containsBlanks" dxfId="2249" priority="3120" stopIfTrue="1">
      <formula>LEN(TRIM(Q437))=0</formula>
    </cfRule>
    <cfRule type="cellIs" dxfId="2248" priority="3121" stopIfTrue="1" operator="between">
      <formula>80.1</formula>
      <formula>100</formula>
    </cfRule>
    <cfRule type="cellIs" dxfId="2247" priority="3122" stopIfTrue="1" operator="between">
      <formula>35.1</formula>
      <formula>80</formula>
    </cfRule>
    <cfRule type="cellIs" dxfId="2246" priority="3123" stopIfTrue="1" operator="between">
      <formula>14.1</formula>
      <formula>35</formula>
    </cfRule>
    <cfRule type="cellIs" dxfId="2245" priority="3124" stopIfTrue="1" operator="between">
      <formula>5.1</formula>
      <formula>14</formula>
    </cfRule>
    <cfRule type="cellIs" dxfId="2244" priority="3125" stopIfTrue="1" operator="between">
      <formula>0</formula>
      <formula>5</formula>
    </cfRule>
    <cfRule type="containsBlanks" dxfId="2243" priority="3126" stopIfTrue="1">
      <formula>LEN(TRIM(Q437))=0</formula>
    </cfRule>
  </conditionalFormatting>
  <conditionalFormatting sqref="R438">
    <cfRule type="cellIs" dxfId="2242" priority="3118" stopIfTrue="1" operator="equal">
      <formula>"NO"</formula>
    </cfRule>
  </conditionalFormatting>
  <conditionalFormatting sqref="Q438">
    <cfRule type="containsBlanks" dxfId="2241" priority="3105" stopIfTrue="1">
      <formula>LEN(TRIM(Q438))=0</formula>
    </cfRule>
    <cfRule type="cellIs" dxfId="2240" priority="3106" stopIfTrue="1" operator="between">
      <formula>80.1</formula>
      <formula>100</formula>
    </cfRule>
    <cfRule type="cellIs" dxfId="2239" priority="3107" stopIfTrue="1" operator="between">
      <formula>35.1</formula>
      <formula>80</formula>
    </cfRule>
    <cfRule type="cellIs" dxfId="2238" priority="3108" stopIfTrue="1" operator="between">
      <formula>14.1</formula>
      <formula>35</formula>
    </cfRule>
    <cfRule type="cellIs" dxfId="2237" priority="3109" stopIfTrue="1" operator="between">
      <formula>5.1</formula>
      <formula>14</formula>
    </cfRule>
    <cfRule type="cellIs" dxfId="2236" priority="3110" stopIfTrue="1" operator="between">
      <formula>0</formula>
      <formula>5</formula>
    </cfRule>
    <cfRule type="containsBlanks" dxfId="2235" priority="3111" stopIfTrue="1">
      <formula>LEN(TRIM(Q438))=0</formula>
    </cfRule>
  </conditionalFormatting>
  <conditionalFormatting sqref="Q438">
    <cfRule type="containsBlanks" dxfId="2234" priority="3098" stopIfTrue="1">
      <formula>LEN(TRIM(Q438))=0</formula>
    </cfRule>
    <cfRule type="cellIs" dxfId="2233" priority="3099" stopIfTrue="1" operator="between">
      <formula>80.1</formula>
      <formula>100</formula>
    </cfRule>
    <cfRule type="cellIs" dxfId="2232" priority="3100" stopIfTrue="1" operator="between">
      <formula>35.1</formula>
      <formula>80</formula>
    </cfRule>
    <cfRule type="cellIs" dxfId="2231" priority="3101" stopIfTrue="1" operator="between">
      <formula>14.1</formula>
      <formula>35</formula>
    </cfRule>
    <cfRule type="cellIs" dxfId="2230" priority="3102" stopIfTrue="1" operator="between">
      <formula>5.1</formula>
      <formula>14</formula>
    </cfRule>
    <cfRule type="cellIs" dxfId="2229" priority="3103" stopIfTrue="1" operator="between">
      <formula>0</formula>
      <formula>5</formula>
    </cfRule>
    <cfRule type="containsBlanks" dxfId="2228" priority="3104" stopIfTrue="1">
      <formula>LEN(TRIM(Q438))=0</formula>
    </cfRule>
  </conditionalFormatting>
  <conditionalFormatting sqref="R439">
    <cfRule type="cellIs" dxfId="2227" priority="3096" stopIfTrue="1" operator="equal">
      <formula>"NO"</formula>
    </cfRule>
  </conditionalFormatting>
  <conditionalFormatting sqref="Q439">
    <cfRule type="containsBlanks" dxfId="2226" priority="3083" stopIfTrue="1">
      <formula>LEN(TRIM(Q439))=0</formula>
    </cfRule>
    <cfRule type="cellIs" dxfId="2225" priority="3084" stopIfTrue="1" operator="between">
      <formula>80.1</formula>
      <formula>100</formula>
    </cfRule>
    <cfRule type="cellIs" dxfId="2224" priority="3085" stopIfTrue="1" operator="between">
      <formula>35.1</formula>
      <formula>80</formula>
    </cfRule>
    <cfRule type="cellIs" dxfId="2223" priority="3086" stopIfTrue="1" operator="between">
      <formula>14.1</formula>
      <formula>35</formula>
    </cfRule>
    <cfRule type="cellIs" dxfId="2222" priority="3087" stopIfTrue="1" operator="between">
      <formula>5.1</formula>
      <formula>14</formula>
    </cfRule>
    <cfRule type="cellIs" dxfId="2221" priority="3088" stopIfTrue="1" operator="between">
      <formula>0</formula>
      <formula>5</formula>
    </cfRule>
    <cfRule type="containsBlanks" dxfId="2220" priority="3089" stopIfTrue="1">
      <formula>LEN(TRIM(Q439))=0</formula>
    </cfRule>
  </conditionalFormatting>
  <conditionalFormatting sqref="Q439">
    <cfRule type="containsBlanks" dxfId="2219" priority="3076" stopIfTrue="1">
      <formula>LEN(TRIM(Q439))=0</formula>
    </cfRule>
    <cfRule type="cellIs" dxfId="2218" priority="3077" stopIfTrue="1" operator="between">
      <formula>80.1</formula>
      <formula>100</formula>
    </cfRule>
    <cfRule type="cellIs" dxfId="2217" priority="3078" stopIfTrue="1" operator="between">
      <formula>35.1</formula>
      <formula>80</formula>
    </cfRule>
    <cfRule type="cellIs" dxfId="2216" priority="3079" stopIfTrue="1" operator="between">
      <formula>14.1</formula>
      <formula>35</formula>
    </cfRule>
    <cfRule type="cellIs" dxfId="2215" priority="3080" stopIfTrue="1" operator="between">
      <formula>5.1</formula>
      <formula>14</formula>
    </cfRule>
    <cfRule type="cellIs" dxfId="2214" priority="3081" stopIfTrue="1" operator="between">
      <formula>0</formula>
      <formula>5</formula>
    </cfRule>
    <cfRule type="containsBlanks" dxfId="2213" priority="3082" stopIfTrue="1">
      <formula>LEN(TRIM(Q439))=0</formula>
    </cfRule>
  </conditionalFormatting>
  <conditionalFormatting sqref="R440">
    <cfRule type="cellIs" dxfId="2212" priority="3074" stopIfTrue="1" operator="equal">
      <formula>"NO"</formula>
    </cfRule>
  </conditionalFormatting>
  <conditionalFormatting sqref="Q440">
    <cfRule type="containsBlanks" dxfId="2211" priority="3061" stopIfTrue="1">
      <formula>LEN(TRIM(Q440))=0</formula>
    </cfRule>
    <cfRule type="cellIs" dxfId="2210" priority="3062" stopIfTrue="1" operator="between">
      <formula>80.1</formula>
      <formula>100</formula>
    </cfRule>
    <cfRule type="cellIs" dxfId="2209" priority="3063" stopIfTrue="1" operator="between">
      <formula>35.1</formula>
      <formula>80</formula>
    </cfRule>
    <cfRule type="cellIs" dxfId="2208" priority="3064" stopIfTrue="1" operator="between">
      <formula>14.1</formula>
      <formula>35</formula>
    </cfRule>
    <cfRule type="cellIs" dxfId="2207" priority="3065" stopIfTrue="1" operator="between">
      <formula>5.1</formula>
      <formula>14</formula>
    </cfRule>
    <cfRule type="cellIs" dxfId="2206" priority="3066" stopIfTrue="1" operator="between">
      <formula>0</formula>
      <formula>5</formula>
    </cfRule>
    <cfRule type="containsBlanks" dxfId="2205" priority="3067" stopIfTrue="1">
      <formula>LEN(TRIM(Q440))=0</formula>
    </cfRule>
  </conditionalFormatting>
  <conditionalFormatting sqref="Q440">
    <cfRule type="containsBlanks" dxfId="2204" priority="3054" stopIfTrue="1">
      <formula>LEN(TRIM(Q440))=0</formula>
    </cfRule>
    <cfRule type="cellIs" dxfId="2203" priority="3055" stopIfTrue="1" operator="between">
      <formula>80.1</formula>
      <formula>100</formula>
    </cfRule>
    <cfRule type="cellIs" dxfId="2202" priority="3056" stopIfTrue="1" operator="between">
      <formula>35.1</formula>
      <formula>80</formula>
    </cfRule>
    <cfRule type="cellIs" dxfId="2201" priority="3057" stopIfTrue="1" operator="between">
      <formula>14.1</formula>
      <formula>35</formula>
    </cfRule>
    <cfRule type="cellIs" dxfId="2200" priority="3058" stopIfTrue="1" operator="between">
      <formula>5.1</formula>
      <formula>14</formula>
    </cfRule>
    <cfRule type="cellIs" dxfId="2199" priority="3059" stopIfTrue="1" operator="between">
      <formula>0</formula>
      <formula>5</formula>
    </cfRule>
    <cfRule type="containsBlanks" dxfId="2198" priority="3060" stopIfTrue="1">
      <formula>LEN(TRIM(Q440))=0</formula>
    </cfRule>
  </conditionalFormatting>
  <conditionalFormatting sqref="R441">
    <cfRule type="cellIs" dxfId="2197" priority="3052" stopIfTrue="1" operator="equal">
      <formula>"NO"</formula>
    </cfRule>
  </conditionalFormatting>
  <conditionalFormatting sqref="Q441">
    <cfRule type="containsBlanks" dxfId="2196" priority="3039" stopIfTrue="1">
      <formula>LEN(TRIM(Q441))=0</formula>
    </cfRule>
    <cfRule type="cellIs" dxfId="2195" priority="3040" stopIfTrue="1" operator="between">
      <formula>80.1</formula>
      <formula>100</formula>
    </cfRule>
    <cfRule type="cellIs" dxfId="2194" priority="3041" stopIfTrue="1" operator="between">
      <formula>35.1</formula>
      <formula>80</formula>
    </cfRule>
    <cfRule type="cellIs" dxfId="2193" priority="3042" stopIfTrue="1" operator="between">
      <formula>14.1</formula>
      <formula>35</formula>
    </cfRule>
    <cfRule type="cellIs" dxfId="2192" priority="3043" stopIfTrue="1" operator="between">
      <formula>5.1</formula>
      <formula>14</formula>
    </cfRule>
    <cfRule type="cellIs" dxfId="2191" priority="3044" stopIfTrue="1" operator="between">
      <formula>0</formula>
      <formula>5</formula>
    </cfRule>
    <cfRule type="containsBlanks" dxfId="2190" priority="3045" stopIfTrue="1">
      <formula>LEN(TRIM(Q441))=0</formula>
    </cfRule>
  </conditionalFormatting>
  <conditionalFormatting sqref="Q441">
    <cfRule type="containsBlanks" dxfId="2189" priority="3032" stopIfTrue="1">
      <formula>LEN(TRIM(Q441))=0</formula>
    </cfRule>
    <cfRule type="cellIs" dxfId="2188" priority="3033" stopIfTrue="1" operator="between">
      <formula>80.1</formula>
      <formula>100</formula>
    </cfRule>
    <cfRule type="cellIs" dxfId="2187" priority="3034" stopIfTrue="1" operator="between">
      <formula>35.1</formula>
      <formula>80</formula>
    </cfRule>
    <cfRule type="cellIs" dxfId="2186" priority="3035" stopIfTrue="1" operator="between">
      <formula>14.1</formula>
      <formula>35</formula>
    </cfRule>
    <cfRule type="cellIs" dxfId="2185" priority="3036" stopIfTrue="1" operator="between">
      <formula>5.1</formula>
      <formula>14</formula>
    </cfRule>
    <cfRule type="cellIs" dxfId="2184" priority="3037" stopIfTrue="1" operator="between">
      <formula>0</formula>
      <formula>5</formula>
    </cfRule>
    <cfRule type="containsBlanks" dxfId="2183" priority="3038" stopIfTrue="1">
      <formula>LEN(TRIM(Q441))=0</formula>
    </cfRule>
  </conditionalFormatting>
  <conditionalFormatting sqref="R442">
    <cfRule type="cellIs" dxfId="2182" priority="3030" stopIfTrue="1" operator="equal">
      <formula>"NO"</formula>
    </cfRule>
  </conditionalFormatting>
  <conditionalFormatting sqref="Q442">
    <cfRule type="containsBlanks" dxfId="2181" priority="3017" stopIfTrue="1">
      <formula>LEN(TRIM(Q442))=0</formula>
    </cfRule>
    <cfRule type="cellIs" dxfId="2180" priority="3018" stopIfTrue="1" operator="between">
      <formula>80.1</formula>
      <formula>100</formula>
    </cfRule>
    <cfRule type="cellIs" dxfId="2179" priority="3019" stopIfTrue="1" operator="between">
      <formula>35.1</formula>
      <formula>80</formula>
    </cfRule>
    <cfRule type="cellIs" dxfId="2178" priority="3020" stopIfTrue="1" operator="between">
      <formula>14.1</formula>
      <formula>35</formula>
    </cfRule>
    <cfRule type="cellIs" dxfId="2177" priority="3021" stopIfTrue="1" operator="between">
      <formula>5.1</formula>
      <formula>14</formula>
    </cfRule>
    <cfRule type="cellIs" dxfId="2176" priority="3022" stopIfTrue="1" operator="between">
      <formula>0</formula>
      <formula>5</formula>
    </cfRule>
    <cfRule type="containsBlanks" dxfId="2175" priority="3023" stopIfTrue="1">
      <formula>LEN(TRIM(Q442))=0</formula>
    </cfRule>
  </conditionalFormatting>
  <conditionalFormatting sqref="Q442">
    <cfRule type="containsBlanks" dxfId="2174" priority="3010" stopIfTrue="1">
      <formula>LEN(TRIM(Q442))=0</formula>
    </cfRule>
    <cfRule type="cellIs" dxfId="2173" priority="3011" stopIfTrue="1" operator="between">
      <formula>80.1</formula>
      <formula>100</formula>
    </cfRule>
    <cfRule type="cellIs" dxfId="2172" priority="3012" stopIfTrue="1" operator="between">
      <formula>35.1</formula>
      <formula>80</formula>
    </cfRule>
    <cfRule type="cellIs" dxfId="2171" priority="3013" stopIfTrue="1" operator="between">
      <formula>14.1</formula>
      <formula>35</formula>
    </cfRule>
    <cfRule type="cellIs" dxfId="2170" priority="3014" stopIfTrue="1" operator="between">
      <formula>5.1</formula>
      <formula>14</formula>
    </cfRule>
    <cfRule type="cellIs" dxfId="2169" priority="3015" stopIfTrue="1" operator="between">
      <formula>0</formula>
      <formula>5</formula>
    </cfRule>
    <cfRule type="containsBlanks" dxfId="2168" priority="3016" stopIfTrue="1">
      <formula>LEN(TRIM(Q442))=0</formula>
    </cfRule>
  </conditionalFormatting>
  <conditionalFormatting sqref="R443">
    <cfRule type="cellIs" dxfId="2167" priority="3008" stopIfTrue="1" operator="equal">
      <formula>"NO"</formula>
    </cfRule>
  </conditionalFormatting>
  <conditionalFormatting sqref="Q443">
    <cfRule type="containsBlanks" dxfId="2166" priority="2995" stopIfTrue="1">
      <formula>LEN(TRIM(Q443))=0</formula>
    </cfRule>
    <cfRule type="cellIs" dxfId="2165" priority="2996" stopIfTrue="1" operator="between">
      <formula>80.1</formula>
      <formula>100</formula>
    </cfRule>
    <cfRule type="cellIs" dxfId="2164" priority="2997" stopIfTrue="1" operator="between">
      <formula>35.1</formula>
      <formula>80</formula>
    </cfRule>
    <cfRule type="cellIs" dxfId="2163" priority="2998" stopIfTrue="1" operator="between">
      <formula>14.1</formula>
      <formula>35</formula>
    </cfRule>
    <cfRule type="cellIs" dxfId="2162" priority="2999" stopIfTrue="1" operator="between">
      <formula>5.1</formula>
      <formula>14</formula>
    </cfRule>
    <cfRule type="cellIs" dxfId="2161" priority="3000" stopIfTrue="1" operator="between">
      <formula>0</formula>
      <formula>5</formula>
    </cfRule>
    <cfRule type="containsBlanks" dxfId="2160" priority="3001" stopIfTrue="1">
      <formula>LEN(TRIM(Q443))=0</formula>
    </cfRule>
  </conditionalFormatting>
  <conditionalFormatting sqref="Q443">
    <cfRule type="containsBlanks" dxfId="2159" priority="2988" stopIfTrue="1">
      <formula>LEN(TRIM(Q443))=0</formula>
    </cfRule>
    <cfRule type="cellIs" dxfId="2158" priority="2989" stopIfTrue="1" operator="between">
      <formula>80.1</formula>
      <formula>100</formula>
    </cfRule>
    <cfRule type="cellIs" dxfId="2157" priority="2990" stopIfTrue="1" operator="between">
      <formula>35.1</formula>
      <formula>80</formula>
    </cfRule>
    <cfRule type="cellIs" dxfId="2156" priority="2991" stopIfTrue="1" operator="between">
      <formula>14.1</formula>
      <formula>35</formula>
    </cfRule>
    <cfRule type="cellIs" dxfId="2155" priority="2992" stopIfTrue="1" operator="between">
      <formula>5.1</formula>
      <formula>14</formula>
    </cfRule>
    <cfRule type="cellIs" dxfId="2154" priority="2993" stopIfTrue="1" operator="between">
      <formula>0</formula>
      <formula>5</formula>
    </cfRule>
    <cfRule type="containsBlanks" dxfId="2153" priority="2994" stopIfTrue="1">
      <formula>LEN(TRIM(Q443))=0</formula>
    </cfRule>
  </conditionalFormatting>
  <conditionalFormatting sqref="R444">
    <cfRule type="cellIs" dxfId="2152" priority="2986" stopIfTrue="1" operator="equal">
      <formula>"NO"</formula>
    </cfRule>
  </conditionalFormatting>
  <conditionalFormatting sqref="Q444">
    <cfRule type="containsBlanks" dxfId="2151" priority="2973" stopIfTrue="1">
      <formula>LEN(TRIM(Q444))=0</formula>
    </cfRule>
    <cfRule type="cellIs" dxfId="2150" priority="2974" stopIfTrue="1" operator="between">
      <formula>80.1</formula>
      <formula>100</formula>
    </cfRule>
    <cfRule type="cellIs" dxfId="2149" priority="2975" stopIfTrue="1" operator="between">
      <formula>35.1</formula>
      <formula>80</formula>
    </cfRule>
    <cfRule type="cellIs" dxfId="2148" priority="2976" stopIfTrue="1" operator="between">
      <formula>14.1</formula>
      <formula>35</formula>
    </cfRule>
    <cfRule type="cellIs" dxfId="2147" priority="2977" stopIfTrue="1" operator="between">
      <formula>5.1</formula>
      <formula>14</formula>
    </cfRule>
    <cfRule type="cellIs" dxfId="2146" priority="2978" stopIfTrue="1" operator="between">
      <formula>0</formula>
      <formula>5</formula>
    </cfRule>
    <cfRule type="containsBlanks" dxfId="2145" priority="2979" stopIfTrue="1">
      <formula>LEN(TRIM(Q444))=0</formula>
    </cfRule>
  </conditionalFormatting>
  <conditionalFormatting sqref="Q444">
    <cfRule type="containsBlanks" dxfId="2144" priority="2966" stopIfTrue="1">
      <formula>LEN(TRIM(Q444))=0</formula>
    </cfRule>
    <cfRule type="cellIs" dxfId="2143" priority="2967" stopIfTrue="1" operator="between">
      <formula>80.1</formula>
      <formula>100</formula>
    </cfRule>
    <cfRule type="cellIs" dxfId="2142" priority="2968" stopIfTrue="1" operator="between">
      <formula>35.1</formula>
      <formula>80</formula>
    </cfRule>
    <cfRule type="cellIs" dxfId="2141" priority="2969" stopIfTrue="1" operator="between">
      <formula>14.1</formula>
      <formula>35</formula>
    </cfRule>
    <cfRule type="cellIs" dxfId="2140" priority="2970" stopIfTrue="1" operator="between">
      <formula>5.1</formula>
      <formula>14</formula>
    </cfRule>
    <cfRule type="cellIs" dxfId="2139" priority="2971" stopIfTrue="1" operator="between">
      <formula>0</formula>
      <formula>5</formula>
    </cfRule>
    <cfRule type="containsBlanks" dxfId="2138" priority="2972" stopIfTrue="1">
      <formula>LEN(TRIM(Q444))=0</formula>
    </cfRule>
  </conditionalFormatting>
  <conditionalFormatting sqref="R445">
    <cfRule type="cellIs" dxfId="2137" priority="2964" stopIfTrue="1" operator="equal">
      <formula>"NO"</formula>
    </cfRule>
  </conditionalFormatting>
  <conditionalFormatting sqref="Q445">
    <cfRule type="containsBlanks" dxfId="2136" priority="2951" stopIfTrue="1">
      <formula>LEN(TRIM(Q445))=0</formula>
    </cfRule>
    <cfRule type="cellIs" dxfId="2135" priority="2952" stopIfTrue="1" operator="between">
      <formula>80.1</formula>
      <formula>100</formula>
    </cfRule>
    <cfRule type="cellIs" dxfId="2134" priority="2953" stopIfTrue="1" operator="between">
      <formula>35.1</formula>
      <formula>80</formula>
    </cfRule>
    <cfRule type="cellIs" dxfId="2133" priority="2954" stopIfTrue="1" operator="between">
      <formula>14.1</formula>
      <formula>35</formula>
    </cfRule>
    <cfRule type="cellIs" dxfId="2132" priority="2955" stopIfTrue="1" operator="between">
      <formula>5.1</formula>
      <formula>14</formula>
    </cfRule>
    <cfRule type="cellIs" dxfId="2131" priority="2956" stopIfTrue="1" operator="between">
      <formula>0</formula>
      <formula>5</formula>
    </cfRule>
    <cfRule type="containsBlanks" dxfId="2130" priority="2957" stopIfTrue="1">
      <formula>LEN(TRIM(Q445))=0</formula>
    </cfRule>
  </conditionalFormatting>
  <conditionalFormatting sqref="Q445">
    <cfRule type="containsBlanks" dxfId="2129" priority="2944" stopIfTrue="1">
      <formula>LEN(TRIM(Q445))=0</formula>
    </cfRule>
    <cfRule type="cellIs" dxfId="2128" priority="2945" stopIfTrue="1" operator="between">
      <formula>80.1</formula>
      <formula>100</formula>
    </cfRule>
    <cfRule type="cellIs" dxfId="2127" priority="2946" stopIfTrue="1" operator="between">
      <formula>35.1</formula>
      <formula>80</formula>
    </cfRule>
    <cfRule type="cellIs" dxfId="2126" priority="2947" stopIfTrue="1" operator="between">
      <formula>14.1</formula>
      <formula>35</formula>
    </cfRule>
    <cfRule type="cellIs" dxfId="2125" priority="2948" stopIfTrue="1" operator="between">
      <formula>5.1</formula>
      <formula>14</formula>
    </cfRule>
    <cfRule type="cellIs" dxfId="2124" priority="2949" stopIfTrue="1" operator="between">
      <formula>0</formula>
      <formula>5</formula>
    </cfRule>
    <cfRule type="containsBlanks" dxfId="2123" priority="2950" stopIfTrue="1">
      <formula>LEN(TRIM(Q445))=0</formula>
    </cfRule>
  </conditionalFormatting>
  <conditionalFormatting sqref="R446">
    <cfRule type="cellIs" dxfId="2122" priority="2920" stopIfTrue="1" operator="equal">
      <formula>"NO"</formula>
    </cfRule>
  </conditionalFormatting>
  <conditionalFormatting sqref="Q446">
    <cfRule type="containsBlanks" dxfId="2121" priority="2907" stopIfTrue="1">
      <formula>LEN(TRIM(Q446))=0</formula>
    </cfRule>
    <cfRule type="cellIs" dxfId="2120" priority="2908" stopIfTrue="1" operator="between">
      <formula>80.1</formula>
      <formula>100</formula>
    </cfRule>
    <cfRule type="cellIs" dxfId="2119" priority="2909" stopIfTrue="1" operator="between">
      <formula>35.1</formula>
      <formula>80</formula>
    </cfRule>
    <cfRule type="cellIs" dxfId="2118" priority="2910" stopIfTrue="1" operator="between">
      <formula>14.1</formula>
      <formula>35</formula>
    </cfRule>
    <cfRule type="cellIs" dxfId="2117" priority="2911" stopIfTrue="1" operator="between">
      <formula>5.1</formula>
      <formula>14</formula>
    </cfRule>
    <cfRule type="cellIs" dxfId="2116" priority="2912" stopIfTrue="1" operator="between">
      <formula>0</formula>
      <formula>5</formula>
    </cfRule>
    <cfRule type="containsBlanks" dxfId="2115" priority="2913" stopIfTrue="1">
      <formula>LEN(TRIM(Q446))=0</formula>
    </cfRule>
  </conditionalFormatting>
  <conditionalFormatting sqref="Q446">
    <cfRule type="containsBlanks" dxfId="2114" priority="2900" stopIfTrue="1">
      <formula>LEN(TRIM(Q446))=0</formula>
    </cfRule>
    <cfRule type="cellIs" dxfId="2113" priority="2901" stopIfTrue="1" operator="between">
      <formula>80.1</formula>
      <formula>100</formula>
    </cfRule>
    <cfRule type="cellIs" dxfId="2112" priority="2902" stopIfTrue="1" operator="between">
      <formula>35.1</formula>
      <formula>80</formula>
    </cfRule>
    <cfRule type="cellIs" dxfId="2111" priority="2903" stopIfTrue="1" operator="between">
      <formula>14.1</formula>
      <formula>35</formula>
    </cfRule>
    <cfRule type="cellIs" dxfId="2110" priority="2904" stopIfTrue="1" operator="between">
      <formula>5.1</formula>
      <formula>14</formula>
    </cfRule>
    <cfRule type="cellIs" dxfId="2109" priority="2905" stopIfTrue="1" operator="between">
      <formula>0</formula>
      <formula>5</formula>
    </cfRule>
    <cfRule type="containsBlanks" dxfId="2108" priority="2906" stopIfTrue="1">
      <formula>LEN(TRIM(Q446))=0</formula>
    </cfRule>
  </conditionalFormatting>
  <conditionalFormatting sqref="R447">
    <cfRule type="cellIs" dxfId="2107" priority="2788" stopIfTrue="1" operator="equal">
      <formula>"NO"</formula>
    </cfRule>
  </conditionalFormatting>
  <conditionalFormatting sqref="Q447">
    <cfRule type="containsBlanks" dxfId="2106" priority="2775" stopIfTrue="1">
      <formula>LEN(TRIM(Q447))=0</formula>
    </cfRule>
    <cfRule type="cellIs" dxfId="2105" priority="2776" stopIfTrue="1" operator="between">
      <formula>80.1</formula>
      <formula>100</formula>
    </cfRule>
    <cfRule type="cellIs" dxfId="2104" priority="2777" stopIfTrue="1" operator="between">
      <formula>35.1</formula>
      <formula>80</formula>
    </cfRule>
    <cfRule type="cellIs" dxfId="2103" priority="2778" stopIfTrue="1" operator="between">
      <formula>14.1</formula>
      <formula>35</formula>
    </cfRule>
    <cfRule type="cellIs" dxfId="2102" priority="2779" stopIfTrue="1" operator="between">
      <formula>5.1</formula>
      <formula>14</formula>
    </cfRule>
    <cfRule type="cellIs" dxfId="2101" priority="2780" stopIfTrue="1" operator="between">
      <formula>0</formula>
      <formula>5</formula>
    </cfRule>
    <cfRule type="containsBlanks" dxfId="2100" priority="2781" stopIfTrue="1">
      <formula>LEN(TRIM(Q447))=0</formula>
    </cfRule>
  </conditionalFormatting>
  <conditionalFormatting sqref="Q447">
    <cfRule type="containsBlanks" dxfId="2099" priority="2768" stopIfTrue="1">
      <formula>LEN(TRIM(Q447))=0</formula>
    </cfRule>
    <cfRule type="cellIs" dxfId="2098" priority="2769" stopIfTrue="1" operator="between">
      <formula>80.1</formula>
      <formula>100</formula>
    </cfRule>
    <cfRule type="cellIs" dxfId="2097" priority="2770" stopIfTrue="1" operator="between">
      <formula>35.1</formula>
      <formula>80</formula>
    </cfRule>
    <cfRule type="cellIs" dxfId="2096" priority="2771" stopIfTrue="1" operator="between">
      <formula>14.1</formula>
      <formula>35</formula>
    </cfRule>
    <cfRule type="cellIs" dxfId="2095" priority="2772" stopIfTrue="1" operator="between">
      <formula>5.1</formula>
      <formula>14</formula>
    </cfRule>
    <cfRule type="cellIs" dxfId="2094" priority="2773" stopIfTrue="1" operator="between">
      <formula>0</formula>
      <formula>5</formula>
    </cfRule>
    <cfRule type="containsBlanks" dxfId="2093" priority="2774" stopIfTrue="1">
      <formula>LEN(TRIM(Q447))=0</formula>
    </cfRule>
  </conditionalFormatting>
  <conditionalFormatting sqref="R448">
    <cfRule type="cellIs" dxfId="2092" priority="2722" stopIfTrue="1" operator="equal">
      <formula>"NO"</formula>
    </cfRule>
  </conditionalFormatting>
  <conditionalFormatting sqref="Q448">
    <cfRule type="containsBlanks" dxfId="2091" priority="2709" stopIfTrue="1">
      <formula>LEN(TRIM(Q448))=0</formula>
    </cfRule>
    <cfRule type="cellIs" dxfId="2090" priority="2710" stopIfTrue="1" operator="between">
      <formula>80.1</formula>
      <formula>100</formula>
    </cfRule>
    <cfRule type="cellIs" dxfId="2089" priority="2711" stopIfTrue="1" operator="between">
      <formula>35.1</formula>
      <formula>80</formula>
    </cfRule>
    <cfRule type="cellIs" dxfId="2088" priority="2712" stopIfTrue="1" operator="between">
      <formula>14.1</formula>
      <formula>35</formula>
    </cfRule>
    <cfRule type="cellIs" dxfId="2087" priority="2713" stopIfTrue="1" operator="between">
      <formula>5.1</formula>
      <formula>14</formula>
    </cfRule>
    <cfRule type="cellIs" dxfId="2086" priority="2714" stopIfTrue="1" operator="between">
      <formula>0</formula>
      <formula>5</formula>
    </cfRule>
    <cfRule type="containsBlanks" dxfId="2085" priority="2715" stopIfTrue="1">
      <formula>LEN(TRIM(Q448))=0</formula>
    </cfRule>
  </conditionalFormatting>
  <conditionalFormatting sqref="Q448">
    <cfRule type="containsBlanks" dxfId="2084" priority="2702" stopIfTrue="1">
      <formula>LEN(TRIM(Q448))=0</formula>
    </cfRule>
    <cfRule type="cellIs" dxfId="2083" priority="2703" stopIfTrue="1" operator="between">
      <formula>80.1</formula>
      <formula>100</formula>
    </cfRule>
    <cfRule type="cellIs" dxfId="2082" priority="2704" stopIfTrue="1" operator="between">
      <formula>35.1</formula>
      <formula>80</formula>
    </cfRule>
    <cfRule type="cellIs" dxfId="2081" priority="2705" stopIfTrue="1" operator="between">
      <formula>14.1</formula>
      <formula>35</formula>
    </cfRule>
    <cfRule type="cellIs" dxfId="2080" priority="2706" stopIfTrue="1" operator="between">
      <formula>5.1</formula>
      <formula>14</formula>
    </cfRule>
    <cfRule type="cellIs" dxfId="2079" priority="2707" stopIfTrue="1" operator="between">
      <formula>0</formula>
      <formula>5</formula>
    </cfRule>
    <cfRule type="containsBlanks" dxfId="2078" priority="2708" stopIfTrue="1">
      <formula>LEN(TRIM(Q448))=0</formula>
    </cfRule>
  </conditionalFormatting>
  <conditionalFormatting sqref="R449">
    <cfRule type="cellIs" dxfId="2077" priority="2700" stopIfTrue="1" operator="equal">
      <formula>"NO"</formula>
    </cfRule>
  </conditionalFormatting>
  <conditionalFormatting sqref="Q449">
    <cfRule type="containsBlanks" dxfId="2076" priority="2687" stopIfTrue="1">
      <formula>LEN(TRIM(Q449))=0</formula>
    </cfRule>
    <cfRule type="cellIs" dxfId="2075" priority="2688" stopIfTrue="1" operator="between">
      <formula>80.1</formula>
      <formula>100</formula>
    </cfRule>
    <cfRule type="cellIs" dxfId="2074" priority="2689" stopIfTrue="1" operator="between">
      <formula>35.1</formula>
      <formula>80</formula>
    </cfRule>
    <cfRule type="cellIs" dxfId="2073" priority="2690" stopIfTrue="1" operator="between">
      <formula>14.1</formula>
      <formula>35</formula>
    </cfRule>
    <cfRule type="cellIs" dxfId="2072" priority="2691" stopIfTrue="1" operator="between">
      <formula>5.1</formula>
      <formula>14</formula>
    </cfRule>
    <cfRule type="cellIs" dxfId="2071" priority="2692" stopIfTrue="1" operator="between">
      <formula>0</formula>
      <formula>5</formula>
    </cfRule>
    <cfRule type="containsBlanks" dxfId="2070" priority="2693" stopIfTrue="1">
      <formula>LEN(TRIM(Q449))=0</formula>
    </cfRule>
  </conditionalFormatting>
  <conditionalFormatting sqref="Q449">
    <cfRule type="containsBlanks" dxfId="2069" priority="2680" stopIfTrue="1">
      <formula>LEN(TRIM(Q449))=0</formula>
    </cfRule>
    <cfRule type="cellIs" dxfId="2068" priority="2681" stopIfTrue="1" operator="between">
      <formula>80.1</formula>
      <formula>100</formula>
    </cfRule>
    <cfRule type="cellIs" dxfId="2067" priority="2682" stopIfTrue="1" operator="between">
      <formula>35.1</formula>
      <formula>80</formula>
    </cfRule>
    <cfRule type="cellIs" dxfId="2066" priority="2683" stopIfTrue="1" operator="between">
      <formula>14.1</formula>
      <formula>35</formula>
    </cfRule>
    <cfRule type="cellIs" dxfId="2065" priority="2684" stopIfTrue="1" operator="between">
      <formula>5.1</formula>
      <formula>14</formula>
    </cfRule>
    <cfRule type="cellIs" dxfId="2064" priority="2685" stopIfTrue="1" operator="between">
      <formula>0</formula>
      <formula>5</formula>
    </cfRule>
    <cfRule type="containsBlanks" dxfId="2063" priority="2686" stopIfTrue="1">
      <formula>LEN(TRIM(Q449))=0</formula>
    </cfRule>
  </conditionalFormatting>
  <conditionalFormatting sqref="R450">
    <cfRule type="cellIs" dxfId="2062" priority="2612" stopIfTrue="1" operator="equal">
      <formula>"NO"</formula>
    </cfRule>
  </conditionalFormatting>
  <conditionalFormatting sqref="Q450">
    <cfRule type="containsBlanks" dxfId="2061" priority="2599" stopIfTrue="1">
      <formula>LEN(TRIM(Q450))=0</formula>
    </cfRule>
    <cfRule type="cellIs" dxfId="2060" priority="2600" stopIfTrue="1" operator="between">
      <formula>80.1</formula>
      <formula>100</formula>
    </cfRule>
    <cfRule type="cellIs" dxfId="2059" priority="2601" stopIfTrue="1" operator="between">
      <formula>35.1</formula>
      <formula>80</formula>
    </cfRule>
    <cfRule type="cellIs" dxfId="2058" priority="2602" stopIfTrue="1" operator="between">
      <formula>14.1</formula>
      <formula>35</formula>
    </cfRule>
    <cfRule type="cellIs" dxfId="2057" priority="2603" stopIfTrue="1" operator="between">
      <formula>5.1</formula>
      <formula>14</formula>
    </cfRule>
    <cfRule type="cellIs" dxfId="2056" priority="2604" stopIfTrue="1" operator="between">
      <formula>0</formula>
      <formula>5</formula>
    </cfRule>
    <cfRule type="containsBlanks" dxfId="2055" priority="2605" stopIfTrue="1">
      <formula>LEN(TRIM(Q450))=0</formula>
    </cfRule>
  </conditionalFormatting>
  <conditionalFormatting sqref="Q450">
    <cfRule type="containsBlanks" dxfId="2054" priority="2592" stopIfTrue="1">
      <formula>LEN(TRIM(Q450))=0</formula>
    </cfRule>
    <cfRule type="cellIs" dxfId="2053" priority="2593" stopIfTrue="1" operator="between">
      <formula>80.1</formula>
      <formula>100</formula>
    </cfRule>
    <cfRule type="cellIs" dxfId="2052" priority="2594" stopIfTrue="1" operator="between">
      <formula>35.1</formula>
      <formula>80</formula>
    </cfRule>
    <cfRule type="cellIs" dxfId="2051" priority="2595" stopIfTrue="1" operator="between">
      <formula>14.1</formula>
      <formula>35</formula>
    </cfRule>
    <cfRule type="cellIs" dxfId="2050" priority="2596" stopIfTrue="1" operator="between">
      <formula>5.1</formula>
      <formula>14</formula>
    </cfRule>
    <cfRule type="cellIs" dxfId="2049" priority="2597" stopIfTrue="1" operator="between">
      <formula>0</formula>
      <formula>5</formula>
    </cfRule>
    <cfRule type="containsBlanks" dxfId="2048" priority="2598" stopIfTrue="1">
      <formula>LEN(TRIM(Q450))=0</formula>
    </cfRule>
  </conditionalFormatting>
  <conditionalFormatting sqref="R451">
    <cfRule type="cellIs" dxfId="2047" priority="2590" stopIfTrue="1" operator="equal">
      <formula>"NO"</formula>
    </cfRule>
  </conditionalFormatting>
  <conditionalFormatting sqref="Q451">
    <cfRule type="containsBlanks" dxfId="2046" priority="2577" stopIfTrue="1">
      <formula>LEN(TRIM(Q451))=0</formula>
    </cfRule>
    <cfRule type="cellIs" dxfId="2045" priority="2578" stopIfTrue="1" operator="between">
      <formula>80.1</formula>
      <formula>100</formula>
    </cfRule>
    <cfRule type="cellIs" dxfId="2044" priority="2579" stopIfTrue="1" operator="between">
      <formula>35.1</formula>
      <formula>80</formula>
    </cfRule>
    <cfRule type="cellIs" dxfId="2043" priority="2580" stopIfTrue="1" operator="between">
      <formula>14.1</formula>
      <formula>35</formula>
    </cfRule>
    <cfRule type="cellIs" dxfId="2042" priority="2581" stopIfTrue="1" operator="between">
      <formula>5.1</formula>
      <formula>14</formula>
    </cfRule>
    <cfRule type="cellIs" dxfId="2041" priority="2582" stopIfTrue="1" operator="between">
      <formula>0</formula>
      <formula>5</formula>
    </cfRule>
    <cfRule type="containsBlanks" dxfId="2040" priority="2583" stopIfTrue="1">
      <formula>LEN(TRIM(Q451))=0</formula>
    </cfRule>
  </conditionalFormatting>
  <conditionalFormatting sqref="Q451">
    <cfRule type="containsBlanks" dxfId="2039" priority="2570" stopIfTrue="1">
      <formula>LEN(TRIM(Q451))=0</formula>
    </cfRule>
    <cfRule type="cellIs" dxfId="2038" priority="2571" stopIfTrue="1" operator="between">
      <formula>80.1</formula>
      <formula>100</formula>
    </cfRule>
    <cfRule type="cellIs" dxfId="2037" priority="2572" stopIfTrue="1" operator="between">
      <formula>35.1</formula>
      <formula>80</formula>
    </cfRule>
    <cfRule type="cellIs" dxfId="2036" priority="2573" stopIfTrue="1" operator="between">
      <formula>14.1</formula>
      <formula>35</formula>
    </cfRule>
    <cfRule type="cellIs" dxfId="2035" priority="2574" stopIfTrue="1" operator="between">
      <formula>5.1</formula>
      <formula>14</formula>
    </cfRule>
    <cfRule type="cellIs" dxfId="2034" priority="2575" stopIfTrue="1" operator="between">
      <formula>0</formula>
      <formula>5</formula>
    </cfRule>
    <cfRule type="containsBlanks" dxfId="2033" priority="2576" stopIfTrue="1">
      <formula>LEN(TRIM(Q451))=0</formula>
    </cfRule>
  </conditionalFormatting>
  <conditionalFormatting sqref="R452">
    <cfRule type="cellIs" dxfId="2032" priority="2568" stopIfTrue="1" operator="equal">
      <formula>"NO"</formula>
    </cfRule>
  </conditionalFormatting>
  <conditionalFormatting sqref="Q452">
    <cfRule type="containsBlanks" dxfId="2031" priority="2555" stopIfTrue="1">
      <formula>LEN(TRIM(Q452))=0</formula>
    </cfRule>
    <cfRule type="cellIs" dxfId="2030" priority="2556" stopIfTrue="1" operator="between">
      <formula>80.1</formula>
      <formula>100</formula>
    </cfRule>
    <cfRule type="cellIs" dxfId="2029" priority="2557" stopIfTrue="1" operator="between">
      <formula>35.1</formula>
      <formula>80</formula>
    </cfRule>
    <cfRule type="cellIs" dxfId="2028" priority="2558" stopIfTrue="1" operator="between">
      <formula>14.1</formula>
      <formula>35</formula>
    </cfRule>
    <cfRule type="cellIs" dxfId="2027" priority="2559" stopIfTrue="1" operator="between">
      <formula>5.1</formula>
      <formula>14</formula>
    </cfRule>
    <cfRule type="cellIs" dxfId="2026" priority="2560" stopIfTrue="1" operator="between">
      <formula>0</formula>
      <formula>5</formula>
    </cfRule>
    <cfRule type="containsBlanks" dxfId="2025" priority="2561" stopIfTrue="1">
      <formula>LEN(TRIM(Q452))=0</formula>
    </cfRule>
  </conditionalFormatting>
  <conditionalFormatting sqref="Q452">
    <cfRule type="containsBlanks" dxfId="2024" priority="2548" stopIfTrue="1">
      <formula>LEN(TRIM(Q452))=0</formula>
    </cfRule>
    <cfRule type="cellIs" dxfId="2023" priority="2549" stopIfTrue="1" operator="between">
      <formula>80.1</formula>
      <formula>100</formula>
    </cfRule>
    <cfRule type="cellIs" dxfId="2022" priority="2550" stopIfTrue="1" operator="between">
      <formula>35.1</formula>
      <formula>80</formula>
    </cfRule>
    <cfRule type="cellIs" dxfId="2021" priority="2551" stopIfTrue="1" operator="between">
      <formula>14.1</formula>
      <formula>35</formula>
    </cfRule>
    <cfRule type="cellIs" dxfId="2020" priority="2552" stopIfTrue="1" operator="between">
      <formula>5.1</formula>
      <formula>14</formula>
    </cfRule>
    <cfRule type="cellIs" dxfId="2019" priority="2553" stopIfTrue="1" operator="between">
      <formula>0</formula>
      <formula>5</formula>
    </cfRule>
    <cfRule type="containsBlanks" dxfId="2018" priority="2554" stopIfTrue="1">
      <formula>LEN(TRIM(Q452))=0</formula>
    </cfRule>
  </conditionalFormatting>
  <conditionalFormatting sqref="R453">
    <cfRule type="cellIs" dxfId="2017" priority="2546" stopIfTrue="1" operator="equal">
      <formula>"NO"</formula>
    </cfRule>
  </conditionalFormatting>
  <conditionalFormatting sqref="Q453">
    <cfRule type="containsBlanks" dxfId="2016" priority="2533" stopIfTrue="1">
      <formula>LEN(TRIM(Q453))=0</formula>
    </cfRule>
    <cfRule type="cellIs" dxfId="2015" priority="2534" stopIfTrue="1" operator="between">
      <formula>80.1</formula>
      <formula>100</formula>
    </cfRule>
    <cfRule type="cellIs" dxfId="2014" priority="2535" stopIfTrue="1" operator="between">
      <formula>35.1</formula>
      <formula>80</formula>
    </cfRule>
    <cfRule type="cellIs" dxfId="2013" priority="2536" stopIfTrue="1" operator="between">
      <formula>14.1</formula>
      <formula>35</formula>
    </cfRule>
    <cfRule type="cellIs" dxfId="2012" priority="2537" stopIfTrue="1" operator="between">
      <formula>5.1</formula>
      <formula>14</formula>
    </cfRule>
    <cfRule type="cellIs" dxfId="2011" priority="2538" stopIfTrue="1" operator="between">
      <formula>0</formula>
      <formula>5</formula>
    </cfRule>
    <cfRule type="containsBlanks" dxfId="2010" priority="2539" stopIfTrue="1">
      <formula>LEN(TRIM(Q453))=0</formula>
    </cfRule>
  </conditionalFormatting>
  <conditionalFormatting sqref="Q453">
    <cfRule type="containsBlanks" dxfId="2009" priority="2526" stopIfTrue="1">
      <formula>LEN(TRIM(Q453))=0</formula>
    </cfRule>
    <cfRule type="cellIs" dxfId="2008" priority="2527" stopIfTrue="1" operator="between">
      <formula>80.1</formula>
      <formula>100</formula>
    </cfRule>
    <cfRule type="cellIs" dxfId="2007" priority="2528" stopIfTrue="1" operator="between">
      <formula>35.1</formula>
      <formula>80</formula>
    </cfRule>
    <cfRule type="cellIs" dxfId="2006" priority="2529" stopIfTrue="1" operator="between">
      <formula>14.1</formula>
      <formula>35</formula>
    </cfRule>
    <cfRule type="cellIs" dxfId="2005" priority="2530" stopIfTrue="1" operator="between">
      <formula>5.1</formula>
      <formula>14</formula>
    </cfRule>
    <cfRule type="cellIs" dxfId="2004" priority="2531" stopIfTrue="1" operator="between">
      <formula>0</formula>
      <formula>5</formula>
    </cfRule>
    <cfRule type="containsBlanks" dxfId="2003" priority="2532" stopIfTrue="1">
      <formula>LEN(TRIM(Q453))=0</formula>
    </cfRule>
  </conditionalFormatting>
  <conditionalFormatting sqref="R454">
    <cfRule type="cellIs" dxfId="2002" priority="2524" stopIfTrue="1" operator="equal">
      <formula>"NO"</formula>
    </cfRule>
  </conditionalFormatting>
  <conditionalFormatting sqref="Q454">
    <cfRule type="containsBlanks" dxfId="2001" priority="2511" stopIfTrue="1">
      <formula>LEN(TRIM(Q454))=0</formula>
    </cfRule>
    <cfRule type="cellIs" dxfId="2000" priority="2512" stopIfTrue="1" operator="between">
      <formula>80.1</formula>
      <formula>100</formula>
    </cfRule>
    <cfRule type="cellIs" dxfId="1999" priority="2513" stopIfTrue="1" operator="between">
      <formula>35.1</formula>
      <formula>80</formula>
    </cfRule>
    <cfRule type="cellIs" dxfId="1998" priority="2514" stopIfTrue="1" operator="between">
      <formula>14.1</formula>
      <formula>35</formula>
    </cfRule>
    <cfRule type="cellIs" dxfId="1997" priority="2515" stopIfTrue="1" operator="between">
      <formula>5.1</formula>
      <formula>14</formula>
    </cfRule>
    <cfRule type="cellIs" dxfId="1996" priority="2516" stopIfTrue="1" operator="between">
      <formula>0</formula>
      <formula>5</formula>
    </cfRule>
    <cfRule type="containsBlanks" dxfId="1995" priority="2517" stopIfTrue="1">
      <formula>LEN(TRIM(Q454))=0</formula>
    </cfRule>
  </conditionalFormatting>
  <conditionalFormatting sqref="Q454">
    <cfRule type="containsBlanks" dxfId="1994" priority="2504" stopIfTrue="1">
      <formula>LEN(TRIM(Q454))=0</formula>
    </cfRule>
    <cfRule type="cellIs" dxfId="1993" priority="2505" stopIfTrue="1" operator="between">
      <formula>80.1</formula>
      <formula>100</formula>
    </cfRule>
    <cfRule type="cellIs" dxfId="1992" priority="2506" stopIfTrue="1" operator="between">
      <formula>35.1</formula>
      <formula>80</formula>
    </cfRule>
    <cfRule type="cellIs" dxfId="1991" priority="2507" stopIfTrue="1" operator="between">
      <formula>14.1</formula>
      <formula>35</formula>
    </cfRule>
    <cfRule type="cellIs" dxfId="1990" priority="2508" stopIfTrue="1" operator="between">
      <formula>5.1</formula>
      <formula>14</formula>
    </cfRule>
    <cfRule type="cellIs" dxfId="1989" priority="2509" stopIfTrue="1" operator="between">
      <formula>0</formula>
      <formula>5</formula>
    </cfRule>
    <cfRule type="containsBlanks" dxfId="1988" priority="2510" stopIfTrue="1">
      <formula>LEN(TRIM(Q454))=0</formula>
    </cfRule>
  </conditionalFormatting>
  <conditionalFormatting sqref="R455">
    <cfRule type="cellIs" dxfId="1987" priority="2502" stopIfTrue="1" operator="equal">
      <formula>"NO"</formula>
    </cfRule>
  </conditionalFormatting>
  <conditionalFormatting sqref="Q455">
    <cfRule type="containsBlanks" dxfId="1986" priority="2489" stopIfTrue="1">
      <formula>LEN(TRIM(Q455))=0</formula>
    </cfRule>
    <cfRule type="cellIs" dxfId="1985" priority="2490" stopIfTrue="1" operator="between">
      <formula>80.1</formula>
      <formula>100</formula>
    </cfRule>
    <cfRule type="cellIs" dxfId="1984" priority="2491" stopIfTrue="1" operator="between">
      <formula>35.1</formula>
      <formula>80</formula>
    </cfRule>
    <cfRule type="cellIs" dxfId="1983" priority="2492" stopIfTrue="1" operator="between">
      <formula>14.1</formula>
      <formula>35</formula>
    </cfRule>
    <cfRule type="cellIs" dxfId="1982" priority="2493" stopIfTrue="1" operator="between">
      <formula>5.1</formula>
      <formula>14</formula>
    </cfRule>
    <cfRule type="cellIs" dxfId="1981" priority="2494" stopIfTrue="1" operator="between">
      <formula>0</formula>
      <formula>5</formula>
    </cfRule>
    <cfRule type="containsBlanks" dxfId="1980" priority="2495" stopIfTrue="1">
      <formula>LEN(TRIM(Q455))=0</formula>
    </cfRule>
  </conditionalFormatting>
  <conditionalFormatting sqref="Q455">
    <cfRule type="containsBlanks" dxfId="1979" priority="2482" stopIfTrue="1">
      <formula>LEN(TRIM(Q455))=0</formula>
    </cfRule>
    <cfRule type="cellIs" dxfId="1978" priority="2483" stopIfTrue="1" operator="between">
      <formula>80.1</formula>
      <formula>100</formula>
    </cfRule>
    <cfRule type="cellIs" dxfId="1977" priority="2484" stopIfTrue="1" operator="between">
      <formula>35.1</formula>
      <formula>80</formula>
    </cfRule>
    <cfRule type="cellIs" dxfId="1976" priority="2485" stopIfTrue="1" operator="between">
      <formula>14.1</formula>
      <formula>35</formula>
    </cfRule>
    <cfRule type="cellIs" dxfId="1975" priority="2486" stopIfTrue="1" operator="between">
      <formula>5.1</formula>
      <formula>14</formula>
    </cfRule>
    <cfRule type="cellIs" dxfId="1974" priority="2487" stopIfTrue="1" operator="between">
      <formula>0</formula>
      <formula>5</formula>
    </cfRule>
    <cfRule type="containsBlanks" dxfId="1973" priority="2488" stopIfTrue="1">
      <formula>LEN(TRIM(Q455))=0</formula>
    </cfRule>
  </conditionalFormatting>
  <conditionalFormatting sqref="R456">
    <cfRule type="cellIs" dxfId="1972" priority="2480" stopIfTrue="1" operator="equal">
      <formula>"NO"</formula>
    </cfRule>
  </conditionalFormatting>
  <conditionalFormatting sqref="Q456">
    <cfRule type="containsBlanks" dxfId="1971" priority="2467" stopIfTrue="1">
      <formula>LEN(TRIM(Q456))=0</formula>
    </cfRule>
    <cfRule type="cellIs" dxfId="1970" priority="2468" stopIfTrue="1" operator="between">
      <formula>80.1</formula>
      <formula>100</formula>
    </cfRule>
    <cfRule type="cellIs" dxfId="1969" priority="2469" stopIfTrue="1" operator="between">
      <formula>35.1</formula>
      <formula>80</formula>
    </cfRule>
    <cfRule type="cellIs" dxfId="1968" priority="2470" stopIfTrue="1" operator="between">
      <formula>14.1</formula>
      <formula>35</formula>
    </cfRule>
    <cfRule type="cellIs" dxfId="1967" priority="2471" stopIfTrue="1" operator="between">
      <formula>5.1</formula>
      <formula>14</formula>
    </cfRule>
    <cfRule type="cellIs" dxfId="1966" priority="2472" stopIfTrue="1" operator="between">
      <formula>0</formula>
      <formula>5</formula>
    </cfRule>
    <cfRule type="containsBlanks" dxfId="1965" priority="2473" stopIfTrue="1">
      <formula>LEN(TRIM(Q456))=0</formula>
    </cfRule>
  </conditionalFormatting>
  <conditionalFormatting sqref="Q456">
    <cfRule type="containsBlanks" dxfId="1964" priority="2460" stopIfTrue="1">
      <formula>LEN(TRIM(Q456))=0</formula>
    </cfRule>
    <cfRule type="cellIs" dxfId="1963" priority="2461" stopIfTrue="1" operator="between">
      <formula>80.1</formula>
      <formula>100</formula>
    </cfRule>
    <cfRule type="cellIs" dxfId="1962" priority="2462" stopIfTrue="1" operator="between">
      <formula>35.1</formula>
      <formula>80</formula>
    </cfRule>
    <cfRule type="cellIs" dxfId="1961" priority="2463" stopIfTrue="1" operator="between">
      <formula>14.1</formula>
      <formula>35</formula>
    </cfRule>
    <cfRule type="cellIs" dxfId="1960" priority="2464" stopIfTrue="1" operator="between">
      <formula>5.1</formula>
      <formula>14</formula>
    </cfRule>
    <cfRule type="cellIs" dxfId="1959" priority="2465" stopIfTrue="1" operator="between">
      <formula>0</formula>
      <formula>5</formula>
    </cfRule>
    <cfRule type="containsBlanks" dxfId="1958" priority="2466" stopIfTrue="1">
      <formula>LEN(TRIM(Q456))=0</formula>
    </cfRule>
  </conditionalFormatting>
  <conditionalFormatting sqref="R457">
    <cfRule type="cellIs" dxfId="1957" priority="2458" stopIfTrue="1" operator="equal">
      <formula>"NO"</formula>
    </cfRule>
  </conditionalFormatting>
  <conditionalFormatting sqref="Q457">
    <cfRule type="containsBlanks" dxfId="1956" priority="2445" stopIfTrue="1">
      <formula>LEN(TRIM(Q457))=0</formula>
    </cfRule>
    <cfRule type="cellIs" dxfId="1955" priority="2446" stopIfTrue="1" operator="between">
      <formula>80.1</formula>
      <formula>100</formula>
    </cfRule>
    <cfRule type="cellIs" dxfId="1954" priority="2447" stopIfTrue="1" operator="between">
      <formula>35.1</formula>
      <formula>80</formula>
    </cfRule>
    <cfRule type="cellIs" dxfId="1953" priority="2448" stopIfTrue="1" operator="between">
      <formula>14.1</formula>
      <formula>35</formula>
    </cfRule>
    <cfRule type="cellIs" dxfId="1952" priority="2449" stopIfTrue="1" operator="between">
      <formula>5.1</formula>
      <formula>14</formula>
    </cfRule>
    <cfRule type="cellIs" dxfId="1951" priority="2450" stopIfTrue="1" operator="between">
      <formula>0</formula>
      <formula>5</formula>
    </cfRule>
    <cfRule type="containsBlanks" dxfId="1950" priority="2451" stopIfTrue="1">
      <formula>LEN(TRIM(Q457))=0</formula>
    </cfRule>
  </conditionalFormatting>
  <conditionalFormatting sqref="Q457">
    <cfRule type="containsBlanks" dxfId="1949" priority="2438" stopIfTrue="1">
      <formula>LEN(TRIM(Q457))=0</formula>
    </cfRule>
    <cfRule type="cellIs" dxfId="1948" priority="2439" stopIfTrue="1" operator="between">
      <formula>80.1</formula>
      <formula>100</formula>
    </cfRule>
    <cfRule type="cellIs" dxfId="1947" priority="2440" stopIfTrue="1" operator="between">
      <formula>35.1</formula>
      <formula>80</formula>
    </cfRule>
    <cfRule type="cellIs" dxfId="1946" priority="2441" stopIfTrue="1" operator="between">
      <formula>14.1</formula>
      <formula>35</formula>
    </cfRule>
    <cfRule type="cellIs" dxfId="1945" priority="2442" stopIfTrue="1" operator="between">
      <formula>5.1</formula>
      <formula>14</formula>
    </cfRule>
    <cfRule type="cellIs" dxfId="1944" priority="2443" stopIfTrue="1" operator="between">
      <formula>0</formula>
      <formula>5</formula>
    </cfRule>
    <cfRule type="containsBlanks" dxfId="1943" priority="2444" stopIfTrue="1">
      <formula>LEN(TRIM(Q457))=0</formula>
    </cfRule>
  </conditionalFormatting>
  <conditionalFormatting sqref="R458">
    <cfRule type="cellIs" dxfId="1942" priority="2436" stopIfTrue="1" operator="equal">
      <formula>"NO"</formula>
    </cfRule>
  </conditionalFormatting>
  <conditionalFormatting sqref="Q458">
    <cfRule type="containsBlanks" dxfId="1941" priority="2423" stopIfTrue="1">
      <formula>LEN(TRIM(Q458))=0</formula>
    </cfRule>
    <cfRule type="cellIs" dxfId="1940" priority="2424" stopIfTrue="1" operator="between">
      <formula>80.1</formula>
      <formula>100</formula>
    </cfRule>
    <cfRule type="cellIs" dxfId="1939" priority="2425" stopIfTrue="1" operator="between">
      <formula>35.1</formula>
      <formula>80</formula>
    </cfRule>
    <cfRule type="cellIs" dxfId="1938" priority="2426" stopIfTrue="1" operator="between">
      <formula>14.1</formula>
      <formula>35</formula>
    </cfRule>
    <cfRule type="cellIs" dxfId="1937" priority="2427" stopIfTrue="1" operator="between">
      <formula>5.1</formula>
      <formula>14</formula>
    </cfRule>
    <cfRule type="cellIs" dxfId="1936" priority="2428" stopIfTrue="1" operator="between">
      <formula>0</formula>
      <formula>5</formula>
    </cfRule>
    <cfRule type="containsBlanks" dxfId="1935" priority="2429" stopIfTrue="1">
      <formula>LEN(TRIM(Q458))=0</formula>
    </cfRule>
  </conditionalFormatting>
  <conditionalFormatting sqref="Q458">
    <cfRule type="containsBlanks" dxfId="1934" priority="2416" stopIfTrue="1">
      <formula>LEN(TRIM(Q458))=0</formula>
    </cfRule>
    <cfRule type="cellIs" dxfId="1933" priority="2417" stopIfTrue="1" operator="between">
      <formula>80.1</formula>
      <formula>100</formula>
    </cfRule>
    <cfRule type="cellIs" dxfId="1932" priority="2418" stopIfTrue="1" operator="between">
      <formula>35.1</formula>
      <formula>80</formula>
    </cfRule>
    <cfRule type="cellIs" dxfId="1931" priority="2419" stopIfTrue="1" operator="between">
      <formula>14.1</formula>
      <formula>35</formula>
    </cfRule>
    <cfRule type="cellIs" dxfId="1930" priority="2420" stopIfTrue="1" operator="between">
      <formula>5.1</formula>
      <formula>14</formula>
    </cfRule>
    <cfRule type="cellIs" dxfId="1929" priority="2421" stopIfTrue="1" operator="between">
      <formula>0</formula>
      <formula>5</formula>
    </cfRule>
    <cfRule type="containsBlanks" dxfId="1928" priority="2422" stopIfTrue="1">
      <formula>LEN(TRIM(Q458))=0</formula>
    </cfRule>
  </conditionalFormatting>
  <conditionalFormatting sqref="R459">
    <cfRule type="cellIs" dxfId="1927" priority="2414" stopIfTrue="1" operator="equal">
      <formula>"NO"</formula>
    </cfRule>
  </conditionalFormatting>
  <conditionalFormatting sqref="Q459">
    <cfRule type="containsBlanks" dxfId="1926" priority="2401" stopIfTrue="1">
      <formula>LEN(TRIM(Q459))=0</formula>
    </cfRule>
    <cfRule type="cellIs" dxfId="1925" priority="2402" stopIfTrue="1" operator="between">
      <formula>80.1</formula>
      <formula>100</formula>
    </cfRule>
    <cfRule type="cellIs" dxfId="1924" priority="2403" stopIfTrue="1" operator="between">
      <formula>35.1</formula>
      <formula>80</formula>
    </cfRule>
    <cfRule type="cellIs" dxfId="1923" priority="2404" stopIfTrue="1" operator="between">
      <formula>14.1</formula>
      <formula>35</formula>
    </cfRule>
    <cfRule type="cellIs" dxfId="1922" priority="2405" stopIfTrue="1" operator="between">
      <formula>5.1</formula>
      <formula>14</formula>
    </cfRule>
    <cfRule type="cellIs" dxfId="1921" priority="2406" stopIfTrue="1" operator="between">
      <formula>0</formula>
      <formula>5</formula>
    </cfRule>
    <cfRule type="containsBlanks" dxfId="1920" priority="2407" stopIfTrue="1">
      <formula>LEN(TRIM(Q459))=0</formula>
    </cfRule>
  </conditionalFormatting>
  <conditionalFormatting sqref="Q459">
    <cfRule type="containsBlanks" dxfId="1919" priority="2394" stopIfTrue="1">
      <formula>LEN(TRIM(Q459))=0</formula>
    </cfRule>
    <cfRule type="cellIs" dxfId="1918" priority="2395" stopIfTrue="1" operator="between">
      <formula>80.1</formula>
      <formula>100</formula>
    </cfRule>
    <cfRule type="cellIs" dxfId="1917" priority="2396" stopIfTrue="1" operator="between">
      <formula>35.1</formula>
      <formula>80</formula>
    </cfRule>
    <cfRule type="cellIs" dxfId="1916" priority="2397" stopIfTrue="1" operator="between">
      <formula>14.1</formula>
      <formula>35</formula>
    </cfRule>
    <cfRule type="cellIs" dxfId="1915" priority="2398" stopIfTrue="1" operator="between">
      <formula>5.1</formula>
      <formula>14</formula>
    </cfRule>
    <cfRule type="cellIs" dxfId="1914" priority="2399" stopIfTrue="1" operator="between">
      <formula>0</formula>
      <formula>5</formula>
    </cfRule>
    <cfRule type="containsBlanks" dxfId="1913" priority="2400" stopIfTrue="1">
      <formula>LEN(TRIM(Q459))=0</formula>
    </cfRule>
  </conditionalFormatting>
  <conditionalFormatting sqref="R460">
    <cfRule type="cellIs" dxfId="1912" priority="2392" stopIfTrue="1" operator="equal">
      <formula>"NO"</formula>
    </cfRule>
  </conditionalFormatting>
  <conditionalFormatting sqref="Q460">
    <cfRule type="containsBlanks" dxfId="1911" priority="2379" stopIfTrue="1">
      <formula>LEN(TRIM(Q460))=0</formula>
    </cfRule>
    <cfRule type="cellIs" dxfId="1910" priority="2380" stopIfTrue="1" operator="between">
      <formula>80.1</formula>
      <formula>100</formula>
    </cfRule>
    <cfRule type="cellIs" dxfId="1909" priority="2381" stopIfTrue="1" operator="between">
      <formula>35.1</formula>
      <formula>80</formula>
    </cfRule>
    <cfRule type="cellIs" dxfId="1908" priority="2382" stopIfTrue="1" operator="between">
      <formula>14.1</formula>
      <formula>35</formula>
    </cfRule>
    <cfRule type="cellIs" dxfId="1907" priority="2383" stopIfTrue="1" operator="between">
      <formula>5.1</formula>
      <formula>14</formula>
    </cfRule>
    <cfRule type="cellIs" dxfId="1906" priority="2384" stopIfTrue="1" operator="between">
      <formula>0</formula>
      <formula>5</formula>
    </cfRule>
    <cfRule type="containsBlanks" dxfId="1905" priority="2385" stopIfTrue="1">
      <formula>LEN(TRIM(Q460))=0</formula>
    </cfRule>
  </conditionalFormatting>
  <conditionalFormatting sqref="Q460">
    <cfRule type="containsBlanks" dxfId="1904" priority="2372" stopIfTrue="1">
      <formula>LEN(TRIM(Q460))=0</formula>
    </cfRule>
    <cfRule type="cellIs" dxfId="1903" priority="2373" stopIfTrue="1" operator="between">
      <formula>80.1</formula>
      <formula>100</formula>
    </cfRule>
    <cfRule type="cellIs" dxfId="1902" priority="2374" stopIfTrue="1" operator="between">
      <formula>35.1</formula>
      <formula>80</formula>
    </cfRule>
    <cfRule type="cellIs" dxfId="1901" priority="2375" stopIfTrue="1" operator="between">
      <formula>14.1</formula>
      <formula>35</formula>
    </cfRule>
    <cfRule type="cellIs" dxfId="1900" priority="2376" stopIfTrue="1" operator="between">
      <formula>5.1</formula>
      <formula>14</formula>
    </cfRule>
    <cfRule type="cellIs" dxfId="1899" priority="2377" stopIfTrue="1" operator="between">
      <formula>0</formula>
      <formula>5</formula>
    </cfRule>
    <cfRule type="containsBlanks" dxfId="1898" priority="2378" stopIfTrue="1">
      <formula>LEN(TRIM(Q460))=0</formula>
    </cfRule>
  </conditionalFormatting>
  <conditionalFormatting sqref="R461">
    <cfRule type="cellIs" dxfId="1897" priority="2370" stopIfTrue="1" operator="equal">
      <formula>"NO"</formula>
    </cfRule>
  </conditionalFormatting>
  <conditionalFormatting sqref="Q461">
    <cfRule type="containsBlanks" dxfId="1896" priority="2357" stopIfTrue="1">
      <formula>LEN(TRIM(Q461))=0</formula>
    </cfRule>
    <cfRule type="cellIs" dxfId="1895" priority="2358" stopIfTrue="1" operator="between">
      <formula>80.1</formula>
      <formula>100</formula>
    </cfRule>
    <cfRule type="cellIs" dxfId="1894" priority="2359" stopIfTrue="1" operator="between">
      <formula>35.1</formula>
      <formula>80</formula>
    </cfRule>
    <cfRule type="cellIs" dxfId="1893" priority="2360" stopIfTrue="1" operator="between">
      <formula>14.1</formula>
      <formula>35</formula>
    </cfRule>
    <cfRule type="cellIs" dxfId="1892" priority="2361" stopIfTrue="1" operator="between">
      <formula>5.1</formula>
      <formula>14</formula>
    </cfRule>
    <cfRule type="cellIs" dxfId="1891" priority="2362" stopIfTrue="1" operator="between">
      <formula>0</formula>
      <formula>5</formula>
    </cfRule>
    <cfRule type="containsBlanks" dxfId="1890" priority="2363" stopIfTrue="1">
      <formula>LEN(TRIM(Q461))=0</formula>
    </cfRule>
  </conditionalFormatting>
  <conditionalFormatting sqref="Q461">
    <cfRule type="containsBlanks" dxfId="1889" priority="2350" stopIfTrue="1">
      <formula>LEN(TRIM(Q461))=0</formula>
    </cfRule>
    <cfRule type="cellIs" dxfId="1888" priority="2351" stopIfTrue="1" operator="between">
      <formula>80.1</formula>
      <formula>100</formula>
    </cfRule>
    <cfRule type="cellIs" dxfId="1887" priority="2352" stopIfTrue="1" operator="between">
      <formula>35.1</formula>
      <formula>80</formula>
    </cfRule>
    <cfRule type="cellIs" dxfId="1886" priority="2353" stopIfTrue="1" operator="between">
      <formula>14.1</formula>
      <formula>35</formula>
    </cfRule>
    <cfRule type="cellIs" dxfId="1885" priority="2354" stopIfTrue="1" operator="between">
      <formula>5.1</formula>
      <formula>14</formula>
    </cfRule>
    <cfRule type="cellIs" dxfId="1884" priority="2355" stopIfTrue="1" operator="between">
      <formula>0</formula>
      <formula>5</formula>
    </cfRule>
    <cfRule type="containsBlanks" dxfId="1883" priority="2356" stopIfTrue="1">
      <formula>LEN(TRIM(Q461))=0</formula>
    </cfRule>
  </conditionalFormatting>
  <conditionalFormatting sqref="R462">
    <cfRule type="cellIs" dxfId="1882" priority="2348" stopIfTrue="1" operator="equal">
      <formula>"NO"</formula>
    </cfRule>
  </conditionalFormatting>
  <conditionalFormatting sqref="Q462">
    <cfRule type="containsBlanks" dxfId="1881" priority="2335" stopIfTrue="1">
      <formula>LEN(TRIM(Q462))=0</formula>
    </cfRule>
    <cfRule type="cellIs" dxfId="1880" priority="2336" stopIfTrue="1" operator="between">
      <formula>80.1</formula>
      <formula>100</formula>
    </cfRule>
    <cfRule type="cellIs" dxfId="1879" priority="2337" stopIfTrue="1" operator="between">
      <formula>35.1</formula>
      <formula>80</formula>
    </cfRule>
    <cfRule type="cellIs" dxfId="1878" priority="2338" stopIfTrue="1" operator="between">
      <formula>14.1</formula>
      <formula>35</formula>
    </cfRule>
    <cfRule type="cellIs" dxfId="1877" priority="2339" stopIfTrue="1" operator="between">
      <formula>5.1</formula>
      <formula>14</formula>
    </cfRule>
    <cfRule type="cellIs" dxfId="1876" priority="2340" stopIfTrue="1" operator="between">
      <formula>0</formula>
      <formula>5</formula>
    </cfRule>
    <cfRule type="containsBlanks" dxfId="1875" priority="2341" stopIfTrue="1">
      <formula>LEN(TRIM(Q462))=0</formula>
    </cfRule>
  </conditionalFormatting>
  <conditionalFormatting sqref="Q462">
    <cfRule type="containsBlanks" dxfId="1874" priority="2328" stopIfTrue="1">
      <formula>LEN(TRIM(Q462))=0</formula>
    </cfRule>
    <cfRule type="cellIs" dxfId="1873" priority="2329" stopIfTrue="1" operator="between">
      <formula>80.1</formula>
      <formula>100</formula>
    </cfRule>
    <cfRule type="cellIs" dxfId="1872" priority="2330" stopIfTrue="1" operator="between">
      <formula>35.1</formula>
      <formula>80</formula>
    </cfRule>
    <cfRule type="cellIs" dxfId="1871" priority="2331" stopIfTrue="1" operator="between">
      <formula>14.1</formula>
      <formula>35</formula>
    </cfRule>
    <cfRule type="cellIs" dxfId="1870" priority="2332" stopIfTrue="1" operator="between">
      <formula>5.1</formula>
      <formula>14</formula>
    </cfRule>
    <cfRule type="cellIs" dxfId="1869" priority="2333" stopIfTrue="1" operator="between">
      <formula>0</formula>
      <formula>5</formula>
    </cfRule>
    <cfRule type="containsBlanks" dxfId="1868" priority="2334" stopIfTrue="1">
      <formula>LEN(TRIM(Q462))=0</formula>
    </cfRule>
  </conditionalFormatting>
  <conditionalFormatting sqref="R463">
    <cfRule type="cellIs" dxfId="1867" priority="2326" stopIfTrue="1" operator="equal">
      <formula>"NO"</formula>
    </cfRule>
  </conditionalFormatting>
  <conditionalFormatting sqref="Q463">
    <cfRule type="containsBlanks" dxfId="1866" priority="2313" stopIfTrue="1">
      <formula>LEN(TRIM(Q463))=0</formula>
    </cfRule>
    <cfRule type="cellIs" dxfId="1865" priority="2314" stopIfTrue="1" operator="between">
      <formula>80.1</formula>
      <formula>100</formula>
    </cfRule>
    <cfRule type="cellIs" dxfId="1864" priority="2315" stopIfTrue="1" operator="between">
      <formula>35.1</formula>
      <formula>80</formula>
    </cfRule>
    <cfRule type="cellIs" dxfId="1863" priority="2316" stopIfTrue="1" operator="between">
      <formula>14.1</formula>
      <formula>35</formula>
    </cfRule>
    <cfRule type="cellIs" dxfId="1862" priority="2317" stopIfTrue="1" operator="between">
      <formula>5.1</formula>
      <formula>14</formula>
    </cfRule>
    <cfRule type="cellIs" dxfId="1861" priority="2318" stopIfTrue="1" operator="between">
      <formula>0</formula>
      <formula>5</formula>
    </cfRule>
    <cfRule type="containsBlanks" dxfId="1860" priority="2319" stopIfTrue="1">
      <formula>LEN(TRIM(Q463))=0</formula>
    </cfRule>
  </conditionalFormatting>
  <conditionalFormatting sqref="Q463">
    <cfRule type="containsBlanks" dxfId="1859" priority="2306" stopIfTrue="1">
      <formula>LEN(TRIM(Q463))=0</formula>
    </cfRule>
    <cfRule type="cellIs" dxfId="1858" priority="2307" stopIfTrue="1" operator="between">
      <formula>80.1</formula>
      <formula>100</formula>
    </cfRule>
    <cfRule type="cellIs" dxfId="1857" priority="2308" stopIfTrue="1" operator="between">
      <formula>35.1</formula>
      <formula>80</formula>
    </cfRule>
    <cfRule type="cellIs" dxfId="1856" priority="2309" stopIfTrue="1" operator="between">
      <formula>14.1</formula>
      <formula>35</formula>
    </cfRule>
    <cfRule type="cellIs" dxfId="1855" priority="2310" stopIfTrue="1" operator="between">
      <formula>5.1</formula>
      <formula>14</formula>
    </cfRule>
    <cfRule type="cellIs" dxfId="1854" priority="2311" stopIfTrue="1" operator="between">
      <formula>0</formula>
      <formula>5</formula>
    </cfRule>
    <cfRule type="containsBlanks" dxfId="1853" priority="2312" stopIfTrue="1">
      <formula>LEN(TRIM(Q463))=0</formula>
    </cfRule>
  </conditionalFormatting>
  <conditionalFormatting sqref="R464">
    <cfRule type="cellIs" dxfId="1852" priority="2304" stopIfTrue="1" operator="equal">
      <formula>"NO"</formula>
    </cfRule>
  </conditionalFormatting>
  <conditionalFormatting sqref="Q464">
    <cfRule type="containsBlanks" dxfId="1851" priority="2291" stopIfTrue="1">
      <formula>LEN(TRIM(Q464))=0</formula>
    </cfRule>
    <cfRule type="cellIs" dxfId="1850" priority="2292" stopIfTrue="1" operator="between">
      <formula>80.1</formula>
      <formula>100</formula>
    </cfRule>
    <cfRule type="cellIs" dxfId="1849" priority="2293" stopIfTrue="1" operator="between">
      <formula>35.1</formula>
      <formula>80</formula>
    </cfRule>
    <cfRule type="cellIs" dxfId="1848" priority="2294" stopIfTrue="1" operator="between">
      <formula>14.1</formula>
      <formula>35</formula>
    </cfRule>
    <cfRule type="cellIs" dxfId="1847" priority="2295" stopIfTrue="1" operator="between">
      <formula>5.1</formula>
      <formula>14</formula>
    </cfRule>
    <cfRule type="cellIs" dxfId="1846" priority="2296" stopIfTrue="1" operator="between">
      <formula>0</formula>
      <formula>5</formula>
    </cfRule>
    <cfRule type="containsBlanks" dxfId="1845" priority="2297" stopIfTrue="1">
      <formula>LEN(TRIM(Q464))=0</formula>
    </cfRule>
  </conditionalFormatting>
  <conditionalFormatting sqref="Q464">
    <cfRule type="containsBlanks" dxfId="1844" priority="2284" stopIfTrue="1">
      <formula>LEN(TRIM(Q464))=0</formula>
    </cfRule>
    <cfRule type="cellIs" dxfId="1843" priority="2285" stopIfTrue="1" operator="between">
      <formula>80.1</formula>
      <formula>100</formula>
    </cfRule>
    <cfRule type="cellIs" dxfId="1842" priority="2286" stopIfTrue="1" operator="between">
      <formula>35.1</formula>
      <formula>80</formula>
    </cfRule>
    <cfRule type="cellIs" dxfId="1841" priority="2287" stopIfTrue="1" operator="between">
      <formula>14.1</formula>
      <formula>35</formula>
    </cfRule>
    <cfRule type="cellIs" dxfId="1840" priority="2288" stopIfTrue="1" operator="between">
      <formula>5.1</formula>
      <formula>14</formula>
    </cfRule>
    <cfRule type="cellIs" dxfId="1839" priority="2289" stopIfTrue="1" operator="between">
      <formula>0</formula>
      <formula>5</formula>
    </cfRule>
    <cfRule type="containsBlanks" dxfId="1838" priority="2290" stopIfTrue="1">
      <formula>LEN(TRIM(Q464))=0</formula>
    </cfRule>
  </conditionalFormatting>
  <conditionalFormatting sqref="R465">
    <cfRule type="cellIs" dxfId="1837" priority="2282" stopIfTrue="1" operator="equal">
      <formula>"NO"</formula>
    </cfRule>
  </conditionalFormatting>
  <conditionalFormatting sqref="Q465">
    <cfRule type="containsBlanks" dxfId="1836" priority="2269" stopIfTrue="1">
      <formula>LEN(TRIM(Q465))=0</formula>
    </cfRule>
    <cfRule type="cellIs" dxfId="1835" priority="2270" stopIfTrue="1" operator="between">
      <formula>80.1</formula>
      <formula>100</formula>
    </cfRule>
    <cfRule type="cellIs" dxfId="1834" priority="2271" stopIfTrue="1" operator="between">
      <formula>35.1</formula>
      <formula>80</formula>
    </cfRule>
    <cfRule type="cellIs" dxfId="1833" priority="2272" stopIfTrue="1" operator="between">
      <formula>14.1</formula>
      <formula>35</formula>
    </cfRule>
    <cfRule type="cellIs" dxfId="1832" priority="2273" stopIfTrue="1" operator="between">
      <formula>5.1</formula>
      <formula>14</formula>
    </cfRule>
    <cfRule type="cellIs" dxfId="1831" priority="2274" stopIfTrue="1" operator="between">
      <formula>0</formula>
      <formula>5</formula>
    </cfRule>
    <cfRule type="containsBlanks" dxfId="1830" priority="2275" stopIfTrue="1">
      <formula>LEN(TRIM(Q465))=0</formula>
    </cfRule>
  </conditionalFormatting>
  <conditionalFormatting sqref="Q465">
    <cfRule type="containsBlanks" dxfId="1829" priority="2262" stopIfTrue="1">
      <formula>LEN(TRIM(Q465))=0</formula>
    </cfRule>
    <cfRule type="cellIs" dxfId="1828" priority="2263" stopIfTrue="1" operator="between">
      <formula>80.1</formula>
      <formula>100</formula>
    </cfRule>
    <cfRule type="cellIs" dxfId="1827" priority="2264" stopIfTrue="1" operator="between">
      <formula>35.1</formula>
      <formula>80</formula>
    </cfRule>
    <cfRule type="cellIs" dxfId="1826" priority="2265" stopIfTrue="1" operator="between">
      <formula>14.1</formula>
      <formula>35</formula>
    </cfRule>
    <cfRule type="cellIs" dxfId="1825" priority="2266" stopIfTrue="1" operator="between">
      <formula>5.1</formula>
      <formula>14</formula>
    </cfRule>
    <cfRule type="cellIs" dxfId="1824" priority="2267" stopIfTrue="1" operator="between">
      <formula>0</formula>
      <formula>5</formula>
    </cfRule>
    <cfRule type="containsBlanks" dxfId="1823" priority="2268" stopIfTrue="1">
      <formula>LEN(TRIM(Q465))=0</formula>
    </cfRule>
  </conditionalFormatting>
  <conditionalFormatting sqref="R466">
    <cfRule type="cellIs" dxfId="1822" priority="2260" stopIfTrue="1" operator="equal">
      <formula>"NO"</formula>
    </cfRule>
  </conditionalFormatting>
  <conditionalFormatting sqref="Q466">
    <cfRule type="containsBlanks" dxfId="1821" priority="2247" stopIfTrue="1">
      <formula>LEN(TRIM(Q466))=0</formula>
    </cfRule>
    <cfRule type="cellIs" dxfId="1820" priority="2248" stopIfTrue="1" operator="between">
      <formula>80.1</formula>
      <formula>100</formula>
    </cfRule>
    <cfRule type="cellIs" dxfId="1819" priority="2249" stopIfTrue="1" operator="between">
      <formula>35.1</formula>
      <formula>80</formula>
    </cfRule>
    <cfRule type="cellIs" dxfId="1818" priority="2250" stopIfTrue="1" operator="between">
      <formula>14.1</formula>
      <formula>35</formula>
    </cfRule>
    <cfRule type="cellIs" dxfId="1817" priority="2251" stopIfTrue="1" operator="between">
      <formula>5.1</formula>
      <formula>14</formula>
    </cfRule>
    <cfRule type="cellIs" dxfId="1816" priority="2252" stopIfTrue="1" operator="between">
      <formula>0</formula>
      <formula>5</formula>
    </cfRule>
    <cfRule type="containsBlanks" dxfId="1815" priority="2253" stopIfTrue="1">
      <formula>LEN(TRIM(Q466))=0</formula>
    </cfRule>
  </conditionalFormatting>
  <conditionalFormatting sqref="Q466">
    <cfRule type="containsBlanks" dxfId="1814" priority="2240" stopIfTrue="1">
      <formula>LEN(TRIM(Q466))=0</formula>
    </cfRule>
    <cfRule type="cellIs" dxfId="1813" priority="2241" stopIfTrue="1" operator="between">
      <formula>80.1</formula>
      <formula>100</formula>
    </cfRule>
    <cfRule type="cellIs" dxfId="1812" priority="2242" stopIfTrue="1" operator="between">
      <formula>35.1</formula>
      <formula>80</formula>
    </cfRule>
    <cfRule type="cellIs" dxfId="1811" priority="2243" stopIfTrue="1" operator="between">
      <formula>14.1</formula>
      <formula>35</formula>
    </cfRule>
    <cfRule type="cellIs" dxfId="1810" priority="2244" stopIfTrue="1" operator="between">
      <formula>5.1</formula>
      <formula>14</formula>
    </cfRule>
    <cfRule type="cellIs" dxfId="1809" priority="2245" stopIfTrue="1" operator="between">
      <formula>0</formula>
      <formula>5</formula>
    </cfRule>
    <cfRule type="containsBlanks" dxfId="1808" priority="2246" stopIfTrue="1">
      <formula>LEN(TRIM(Q466))=0</formula>
    </cfRule>
  </conditionalFormatting>
  <conditionalFormatting sqref="R467">
    <cfRule type="cellIs" dxfId="1807" priority="2238" stopIfTrue="1" operator="equal">
      <formula>"NO"</formula>
    </cfRule>
  </conditionalFormatting>
  <conditionalFormatting sqref="Q467">
    <cfRule type="containsBlanks" dxfId="1806" priority="2225" stopIfTrue="1">
      <formula>LEN(TRIM(Q467))=0</formula>
    </cfRule>
    <cfRule type="cellIs" dxfId="1805" priority="2226" stopIfTrue="1" operator="between">
      <formula>80.1</formula>
      <formula>100</formula>
    </cfRule>
    <cfRule type="cellIs" dxfId="1804" priority="2227" stopIfTrue="1" operator="between">
      <formula>35.1</formula>
      <formula>80</formula>
    </cfRule>
    <cfRule type="cellIs" dxfId="1803" priority="2228" stopIfTrue="1" operator="between">
      <formula>14.1</formula>
      <formula>35</formula>
    </cfRule>
    <cfRule type="cellIs" dxfId="1802" priority="2229" stopIfTrue="1" operator="between">
      <formula>5.1</formula>
      <formula>14</formula>
    </cfRule>
    <cfRule type="cellIs" dxfId="1801" priority="2230" stopIfTrue="1" operator="between">
      <formula>0</formula>
      <formula>5</formula>
    </cfRule>
    <cfRule type="containsBlanks" dxfId="1800" priority="2231" stopIfTrue="1">
      <formula>LEN(TRIM(Q467))=0</formula>
    </cfRule>
  </conditionalFormatting>
  <conditionalFormatting sqref="Q467">
    <cfRule type="containsBlanks" dxfId="1799" priority="2218" stopIfTrue="1">
      <formula>LEN(TRIM(Q467))=0</formula>
    </cfRule>
    <cfRule type="cellIs" dxfId="1798" priority="2219" stopIfTrue="1" operator="between">
      <formula>80.1</formula>
      <formula>100</formula>
    </cfRule>
    <cfRule type="cellIs" dxfId="1797" priority="2220" stopIfTrue="1" operator="between">
      <formula>35.1</formula>
      <formula>80</formula>
    </cfRule>
    <cfRule type="cellIs" dxfId="1796" priority="2221" stopIfTrue="1" operator="between">
      <formula>14.1</formula>
      <formula>35</formula>
    </cfRule>
    <cfRule type="cellIs" dxfId="1795" priority="2222" stopIfTrue="1" operator="between">
      <formula>5.1</formula>
      <formula>14</formula>
    </cfRule>
    <cfRule type="cellIs" dxfId="1794" priority="2223" stopIfTrue="1" operator="between">
      <formula>0</formula>
      <formula>5</formula>
    </cfRule>
    <cfRule type="containsBlanks" dxfId="1793" priority="2224" stopIfTrue="1">
      <formula>LEN(TRIM(Q467))=0</formula>
    </cfRule>
  </conditionalFormatting>
  <conditionalFormatting sqref="Q147">
    <cfRule type="containsBlanks" dxfId="1792" priority="1622" stopIfTrue="1">
      <formula>LEN(TRIM(Q147))=0</formula>
    </cfRule>
    <cfRule type="cellIs" dxfId="1791" priority="1623" stopIfTrue="1" operator="between">
      <formula>79.1</formula>
      <formula>100</formula>
    </cfRule>
    <cfRule type="cellIs" dxfId="1790" priority="1624" stopIfTrue="1" operator="between">
      <formula>34.1</formula>
      <formula>79</formula>
    </cfRule>
    <cfRule type="cellIs" dxfId="1789" priority="1625" stopIfTrue="1" operator="between">
      <formula>13.1</formula>
      <formula>34</formula>
    </cfRule>
    <cfRule type="cellIs" dxfId="1788" priority="1626" stopIfTrue="1" operator="between">
      <formula>5.1</formula>
      <formula>13</formula>
    </cfRule>
    <cfRule type="cellIs" dxfId="1787" priority="1627" stopIfTrue="1" operator="between">
      <formula>0</formula>
      <formula>5</formula>
    </cfRule>
    <cfRule type="containsBlanks" dxfId="1786" priority="1628" stopIfTrue="1">
      <formula>LEN(TRIM(Q147))=0</formula>
    </cfRule>
  </conditionalFormatting>
  <conditionalFormatting sqref="E453:O453">
    <cfRule type="containsBlanks" dxfId="1785" priority="2029" stopIfTrue="1">
      <formula>LEN(TRIM(E453))=0</formula>
    </cfRule>
    <cfRule type="cellIs" dxfId="1784" priority="2030" stopIfTrue="1" operator="between">
      <formula>79.1</formula>
      <formula>100</formula>
    </cfRule>
    <cfRule type="cellIs" dxfId="1783" priority="2031" stopIfTrue="1" operator="between">
      <formula>34.1</formula>
      <formula>79</formula>
    </cfRule>
    <cfRule type="cellIs" dxfId="1782" priority="2032" stopIfTrue="1" operator="between">
      <formula>13.1</formula>
      <formula>34</formula>
    </cfRule>
    <cfRule type="cellIs" dxfId="1781" priority="2033" stopIfTrue="1" operator="between">
      <formula>5.1</formula>
      <formula>13</formula>
    </cfRule>
    <cfRule type="cellIs" dxfId="1780" priority="2034" stopIfTrue="1" operator="between">
      <formula>0</formula>
      <formula>5</formula>
    </cfRule>
    <cfRule type="containsBlanks" dxfId="1779" priority="2035" stopIfTrue="1">
      <formula>LEN(TRIM(E453))=0</formula>
    </cfRule>
  </conditionalFormatting>
  <conditionalFormatting sqref="E457:P457">
    <cfRule type="containsBlanks" dxfId="1778" priority="2022" stopIfTrue="1">
      <formula>LEN(TRIM(E457))=0</formula>
    </cfRule>
    <cfRule type="cellIs" dxfId="1777" priority="2023" stopIfTrue="1" operator="between">
      <formula>79.1</formula>
      <formula>100</formula>
    </cfRule>
    <cfRule type="cellIs" dxfId="1776" priority="2024" stopIfTrue="1" operator="between">
      <formula>34.1</formula>
      <formula>79</formula>
    </cfRule>
    <cfRule type="cellIs" dxfId="1775" priority="2025" stopIfTrue="1" operator="between">
      <formula>13.1</formula>
      <formula>34</formula>
    </cfRule>
    <cfRule type="cellIs" dxfId="1774" priority="2026" stopIfTrue="1" operator="between">
      <formula>5.1</formula>
      <formula>13</formula>
    </cfRule>
    <cfRule type="cellIs" dxfId="1773" priority="2027" stopIfTrue="1" operator="between">
      <formula>0</formula>
      <formula>5</formula>
    </cfRule>
    <cfRule type="containsBlanks" dxfId="1772" priority="2028" stopIfTrue="1">
      <formula>LEN(TRIM(E457))=0</formula>
    </cfRule>
  </conditionalFormatting>
  <conditionalFormatting sqref="E455:O455">
    <cfRule type="containsBlanks" dxfId="1771" priority="2015" stopIfTrue="1">
      <formula>LEN(TRIM(E455))=0</formula>
    </cfRule>
    <cfRule type="cellIs" dxfId="1770" priority="2016" stopIfTrue="1" operator="between">
      <formula>79.1</formula>
      <formula>100</formula>
    </cfRule>
    <cfRule type="cellIs" dxfId="1769" priority="2017" stopIfTrue="1" operator="between">
      <formula>34.1</formula>
      <formula>79</formula>
    </cfRule>
    <cfRule type="cellIs" dxfId="1768" priority="2018" stopIfTrue="1" operator="between">
      <formula>13.1</formula>
      <formula>34</formula>
    </cfRule>
    <cfRule type="cellIs" dxfId="1767" priority="2019" stopIfTrue="1" operator="between">
      <formula>5.1</formula>
      <formula>13</formula>
    </cfRule>
    <cfRule type="cellIs" dxfId="1766" priority="2020" stopIfTrue="1" operator="between">
      <formula>0</formula>
      <formula>5</formula>
    </cfRule>
    <cfRule type="containsBlanks" dxfId="1765" priority="2021" stopIfTrue="1">
      <formula>LEN(TRIM(E455))=0</formula>
    </cfRule>
  </conditionalFormatting>
  <conditionalFormatting sqref="E462:P462">
    <cfRule type="containsBlanks" dxfId="1764" priority="2008" stopIfTrue="1">
      <formula>LEN(TRIM(E462))=0</formula>
    </cfRule>
    <cfRule type="cellIs" dxfId="1763" priority="2009" stopIfTrue="1" operator="between">
      <formula>79.1</formula>
      <formula>100</formula>
    </cfRule>
    <cfRule type="cellIs" dxfId="1762" priority="2010" stopIfTrue="1" operator="between">
      <formula>34.1</formula>
      <formula>79</formula>
    </cfRule>
    <cfRule type="cellIs" dxfId="1761" priority="2011" stopIfTrue="1" operator="between">
      <formula>13.1</formula>
      <formula>34</formula>
    </cfRule>
    <cfRule type="cellIs" dxfId="1760" priority="2012" stopIfTrue="1" operator="between">
      <formula>5.1</formula>
      <formula>13</formula>
    </cfRule>
    <cfRule type="cellIs" dxfId="1759" priority="2013" stopIfTrue="1" operator="between">
      <formula>0</formula>
      <formula>5</formula>
    </cfRule>
    <cfRule type="containsBlanks" dxfId="1758" priority="2014" stopIfTrue="1">
      <formula>LEN(TRIM(E462))=0</formula>
    </cfRule>
  </conditionalFormatting>
  <conditionalFormatting sqref="E450:P450">
    <cfRule type="containsBlanks" dxfId="1757" priority="1994" stopIfTrue="1">
      <formula>LEN(TRIM(E450))=0</formula>
    </cfRule>
    <cfRule type="cellIs" dxfId="1756" priority="1995" stopIfTrue="1" operator="between">
      <formula>79.1</formula>
      <formula>100</formula>
    </cfRule>
    <cfRule type="cellIs" dxfId="1755" priority="1996" stopIfTrue="1" operator="between">
      <formula>34.1</formula>
      <formula>79</formula>
    </cfRule>
    <cfRule type="cellIs" dxfId="1754" priority="1997" stopIfTrue="1" operator="between">
      <formula>13.1</formula>
      <formula>34</formula>
    </cfRule>
    <cfRule type="cellIs" dxfId="1753" priority="1998" stopIfTrue="1" operator="between">
      <formula>5.1</formula>
      <formula>13</formula>
    </cfRule>
    <cfRule type="cellIs" dxfId="1752" priority="1999" stopIfTrue="1" operator="between">
      <formula>0</formula>
      <formula>5</formula>
    </cfRule>
    <cfRule type="containsBlanks" dxfId="1751" priority="2000" stopIfTrue="1">
      <formula>LEN(TRIM(E450))=0</formula>
    </cfRule>
  </conditionalFormatting>
  <conditionalFormatting sqref="E460:H460">
    <cfRule type="containsBlanks" dxfId="1750" priority="1987" stopIfTrue="1">
      <formula>LEN(TRIM(E460))=0</formula>
    </cfRule>
    <cfRule type="cellIs" dxfId="1749" priority="1988" stopIfTrue="1" operator="between">
      <formula>79.1</formula>
      <formula>100</formula>
    </cfRule>
    <cfRule type="cellIs" dxfId="1748" priority="1989" stopIfTrue="1" operator="between">
      <formula>34.1</formula>
      <formula>79</formula>
    </cfRule>
    <cfRule type="cellIs" dxfId="1747" priority="1990" stopIfTrue="1" operator="between">
      <formula>13.1</formula>
      <formula>34</formula>
    </cfRule>
    <cfRule type="cellIs" dxfId="1746" priority="1991" stopIfTrue="1" operator="between">
      <formula>5.1</formula>
      <formula>13</formula>
    </cfRule>
    <cfRule type="cellIs" dxfId="1745" priority="1992" stopIfTrue="1" operator="between">
      <formula>0</formula>
      <formula>5</formula>
    </cfRule>
    <cfRule type="containsBlanks" dxfId="1744" priority="1993" stopIfTrue="1">
      <formula>LEN(TRIM(E460))=0</formula>
    </cfRule>
  </conditionalFormatting>
  <conditionalFormatting sqref="R232">
    <cfRule type="cellIs" dxfId="1743" priority="1971" stopIfTrue="1" operator="equal">
      <formula>"NO"</formula>
    </cfRule>
  </conditionalFormatting>
  <conditionalFormatting sqref="Q232">
    <cfRule type="containsBlanks" dxfId="1742" priority="1958" stopIfTrue="1">
      <formula>LEN(TRIM(Q232))=0</formula>
    </cfRule>
    <cfRule type="cellIs" dxfId="1741" priority="1959" stopIfTrue="1" operator="between">
      <formula>79.1</formula>
      <formula>100</formula>
    </cfRule>
    <cfRule type="cellIs" dxfId="1740" priority="1960" stopIfTrue="1" operator="between">
      <formula>34.1</formula>
      <formula>79</formula>
    </cfRule>
    <cfRule type="cellIs" dxfId="1739" priority="1961" stopIfTrue="1" operator="between">
      <formula>13.1</formula>
      <formula>34</formula>
    </cfRule>
    <cfRule type="cellIs" dxfId="1738" priority="1962" stopIfTrue="1" operator="between">
      <formula>5.1</formula>
      <formula>13</formula>
    </cfRule>
    <cfRule type="cellIs" dxfId="1737" priority="1963" stopIfTrue="1" operator="between">
      <formula>0</formula>
      <formula>5</formula>
    </cfRule>
    <cfRule type="containsBlanks" dxfId="1736" priority="1964" stopIfTrue="1">
      <formula>LEN(TRIM(Q232))=0</formula>
    </cfRule>
  </conditionalFormatting>
  <conditionalFormatting sqref="R233">
    <cfRule type="cellIs" dxfId="1735" priority="1956" stopIfTrue="1" operator="equal">
      <formula>"NO"</formula>
    </cfRule>
  </conditionalFormatting>
  <conditionalFormatting sqref="Q233">
    <cfRule type="containsBlanks" dxfId="1734" priority="1943" stopIfTrue="1">
      <formula>LEN(TRIM(Q233))=0</formula>
    </cfRule>
    <cfRule type="cellIs" dxfId="1733" priority="1944" stopIfTrue="1" operator="between">
      <formula>79.1</formula>
      <formula>100</formula>
    </cfRule>
    <cfRule type="cellIs" dxfId="1732" priority="1945" stopIfTrue="1" operator="between">
      <formula>34.1</formula>
      <formula>79</formula>
    </cfRule>
    <cfRule type="cellIs" dxfId="1731" priority="1946" stopIfTrue="1" operator="between">
      <formula>13.1</formula>
      <formula>34</formula>
    </cfRule>
    <cfRule type="cellIs" dxfId="1730" priority="1947" stopIfTrue="1" operator="between">
      <formula>5.1</formula>
      <formula>13</formula>
    </cfRule>
    <cfRule type="cellIs" dxfId="1729" priority="1948" stopIfTrue="1" operator="between">
      <formula>0</formula>
      <formula>5</formula>
    </cfRule>
    <cfRule type="containsBlanks" dxfId="1728" priority="1949" stopIfTrue="1">
      <formula>LEN(TRIM(Q233))=0</formula>
    </cfRule>
  </conditionalFormatting>
  <conditionalFormatting sqref="R12">
    <cfRule type="cellIs" dxfId="1727" priority="1890" stopIfTrue="1" operator="equal">
      <formula>"NO"</formula>
    </cfRule>
  </conditionalFormatting>
  <conditionalFormatting sqref="S12">
    <cfRule type="cellIs" dxfId="1726" priority="1889" stopIfTrue="1" operator="equal">
      <formula>"INVIABLE SANITARIAMENTE"</formula>
    </cfRule>
  </conditionalFormatting>
  <conditionalFormatting sqref="Q12">
    <cfRule type="containsBlanks" dxfId="1725" priority="1882" stopIfTrue="1">
      <formula>LEN(TRIM(Q12))=0</formula>
    </cfRule>
    <cfRule type="cellIs" dxfId="1724" priority="1883" stopIfTrue="1" operator="between">
      <formula>80.1</formula>
      <formula>100</formula>
    </cfRule>
    <cfRule type="cellIs" dxfId="1723" priority="1884" stopIfTrue="1" operator="between">
      <formula>35.1</formula>
      <formula>80</formula>
    </cfRule>
    <cfRule type="cellIs" dxfId="1722" priority="1885" stopIfTrue="1" operator="between">
      <formula>14.1</formula>
      <formula>35</formula>
    </cfRule>
    <cfRule type="cellIs" dxfId="1721" priority="1886" stopIfTrue="1" operator="between">
      <formula>5.1</formula>
      <formula>14</formula>
    </cfRule>
    <cfRule type="cellIs" dxfId="1720" priority="1887" stopIfTrue="1" operator="between">
      <formula>0</formula>
      <formula>5</formula>
    </cfRule>
    <cfRule type="containsBlanks" dxfId="1719" priority="1888" stopIfTrue="1">
      <formula>LEN(TRIM(Q12))=0</formula>
    </cfRule>
  </conditionalFormatting>
  <conditionalFormatting sqref="S12:S65 S270:S331 S334:S347">
    <cfRule type="containsText" dxfId="1718" priority="1877" stopIfTrue="1" operator="containsText" text="INVIABLE SANITARIAMENTE">
      <formula>NOT(ISERROR(SEARCH("INVIABLE SANITARIAMENTE",S12)))</formula>
    </cfRule>
    <cfRule type="containsText" dxfId="1717" priority="1878" stopIfTrue="1" operator="containsText" text="ALTO">
      <formula>NOT(ISERROR(SEARCH("ALTO",S12)))</formula>
    </cfRule>
    <cfRule type="containsText" dxfId="1716" priority="1879" stopIfTrue="1" operator="containsText" text="MEDIO">
      <formula>NOT(ISERROR(SEARCH("MEDIO",S12)))</formula>
    </cfRule>
    <cfRule type="containsText" dxfId="1715" priority="1880" stopIfTrue="1" operator="containsText" text="BAJO">
      <formula>NOT(ISERROR(SEARCH("BAJO",S12)))</formula>
    </cfRule>
    <cfRule type="containsText" dxfId="1714" priority="1881" stopIfTrue="1" operator="containsText" text="SIN RIESGO">
      <formula>NOT(ISERROR(SEARCH("SIN RIESGO",S12)))</formula>
    </cfRule>
  </conditionalFormatting>
  <conditionalFormatting sqref="S12">
    <cfRule type="containsText" dxfId="1713" priority="1876" stopIfTrue="1" operator="containsText" text="SIN RIESGO">
      <formula>NOT(ISERROR(SEARCH("SIN RIESGO",S12)))</formula>
    </cfRule>
  </conditionalFormatting>
  <conditionalFormatting sqref="R70:R88 R107 R109:R130 R90:R105">
    <cfRule type="cellIs" dxfId="1712" priority="1875" stopIfTrue="1" operator="equal">
      <formula>"NO"</formula>
    </cfRule>
  </conditionalFormatting>
  <conditionalFormatting sqref="S148:S152 S535:S552 S69:S88 S107 S109:S142 S427:S435 S437:S487 S203:S265 S489:S532 S90:S105 S154:S201 S349:S424">
    <cfRule type="cellIs" dxfId="1711" priority="1874" stopIfTrue="1" operator="equal">
      <formula>"INVIABLE SANITARIAMENTE"</formula>
    </cfRule>
  </conditionalFormatting>
  <conditionalFormatting sqref="S148:S152 S535:S552 S69:S88 S107 S109:S142 S427:S435 S437:S487 S203:S265 S489:S532 S90:S105 S154:S201 S349:S424">
    <cfRule type="containsText" dxfId="1710" priority="1862" stopIfTrue="1" operator="containsText" text="INVIABLE SANITARIAMENTE">
      <formula>NOT(ISERROR(SEARCH("INVIABLE SANITARIAMENTE",S69)))</formula>
    </cfRule>
    <cfRule type="containsText" dxfId="1709" priority="1863" stopIfTrue="1" operator="containsText" text="ALTO">
      <formula>NOT(ISERROR(SEARCH("ALTO",S69)))</formula>
    </cfRule>
    <cfRule type="containsText" dxfId="1708" priority="1864" stopIfTrue="1" operator="containsText" text="MEDIO">
      <formula>NOT(ISERROR(SEARCH("MEDIO",S69)))</formula>
    </cfRule>
    <cfRule type="containsText" dxfId="1707" priority="1865" stopIfTrue="1" operator="containsText" text="BAJO">
      <formula>NOT(ISERROR(SEARCH("BAJO",S69)))</formula>
    </cfRule>
    <cfRule type="containsText" dxfId="1706" priority="1866" stopIfTrue="1" operator="containsText" text="SIN RIESGO">
      <formula>NOT(ISERROR(SEARCH("SIN RIESGO",S69)))</formula>
    </cfRule>
  </conditionalFormatting>
  <conditionalFormatting sqref="S148:S152 S535:S552 S69:S88 S107 S109:S142 S427:S435 S437:S487 S203:S265 S489:S532 S90:S105 S154:S201 S349:S424">
    <cfRule type="containsText" dxfId="1705" priority="1861" stopIfTrue="1" operator="containsText" text="SIN RIESGO">
      <formula>NOT(ISERROR(SEARCH("SIN RIESGO",S69)))</formula>
    </cfRule>
  </conditionalFormatting>
  <conditionalFormatting sqref="H28:J28 E28:F28">
    <cfRule type="containsBlanks" dxfId="1704" priority="1847" stopIfTrue="1">
      <formula>LEN(TRIM(E28))=0</formula>
    </cfRule>
    <cfRule type="cellIs" dxfId="1703" priority="1848" stopIfTrue="1" operator="between">
      <formula>80.1</formula>
      <formula>100</formula>
    </cfRule>
    <cfRule type="cellIs" dxfId="1702" priority="1849" stopIfTrue="1" operator="between">
      <formula>35.1</formula>
      <formula>80</formula>
    </cfRule>
    <cfRule type="cellIs" dxfId="1701" priority="1850" stopIfTrue="1" operator="between">
      <formula>14.1</formula>
      <formula>35</formula>
    </cfRule>
    <cfRule type="cellIs" dxfId="1700" priority="1851" stopIfTrue="1" operator="between">
      <formula>5.1</formula>
      <formula>14</formula>
    </cfRule>
    <cfRule type="cellIs" dxfId="1699" priority="1852" stopIfTrue="1" operator="between">
      <formula>0</formula>
      <formula>5</formula>
    </cfRule>
    <cfRule type="containsBlanks" dxfId="1698" priority="1853" stopIfTrue="1">
      <formula>LEN(TRIM(E28))=0</formula>
    </cfRule>
  </conditionalFormatting>
  <conditionalFormatting sqref="G28">
    <cfRule type="containsBlanks" dxfId="1697" priority="1840" stopIfTrue="1">
      <formula>LEN(TRIM(G28))=0</formula>
    </cfRule>
    <cfRule type="cellIs" dxfId="1696" priority="1841" stopIfTrue="1" operator="between">
      <formula>80.1</formula>
      <formula>100</formula>
    </cfRule>
    <cfRule type="cellIs" dxfId="1695" priority="1842" stopIfTrue="1" operator="between">
      <formula>35.1</formula>
      <formula>80</formula>
    </cfRule>
    <cfRule type="cellIs" dxfId="1694" priority="1843" stopIfTrue="1" operator="between">
      <formula>14.1</formula>
      <formula>35</formula>
    </cfRule>
    <cfRule type="cellIs" dxfId="1693" priority="1844" stopIfTrue="1" operator="between">
      <formula>5.1</formula>
      <formula>14</formula>
    </cfRule>
    <cfRule type="cellIs" dxfId="1692" priority="1845" stopIfTrue="1" operator="between">
      <formula>0</formula>
      <formula>5</formula>
    </cfRule>
    <cfRule type="containsBlanks" dxfId="1691" priority="1846" stopIfTrue="1">
      <formula>LEN(TRIM(G28))=0</formula>
    </cfRule>
  </conditionalFormatting>
  <conditionalFormatting sqref="R60:R65 R69">
    <cfRule type="cellIs" dxfId="1690" priority="1839" stopIfTrue="1" operator="equal">
      <formula>"NO"</formula>
    </cfRule>
  </conditionalFormatting>
  <conditionalFormatting sqref="S60:S65 S148:S152 S535:S552 S69:S88 S107 S109:S142 S427:S435 S437:S487 S203:S265 S489:S532 S90:S105 S154:S201 S349:S424">
    <cfRule type="cellIs" dxfId="1689" priority="1838" stopIfTrue="1" operator="equal">
      <formula>"INVIABLE SANITARIAMENTE"</formula>
    </cfRule>
  </conditionalFormatting>
  <conditionalFormatting sqref="Q69 Q60:Q65">
    <cfRule type="containsBlanks" dxfId="1688" priority="1831" stopIfTrue="1">
      <formula>LEN(TRIM(Q60))=0</formula>
    </cfRule>
    <cfRule type="cellIs" dxfId="1687" priority="1832" stopIfTrue="1" operator="between">
      <formula>80.1</formula>
      <formula>100</formula>
    </cfRule>
    <cfRule type="cellIs" dxfId="1686" priority="1833" stopIfTrue="1" operator="between">
      <formula>35.1</formula>
      <formula>80</formula>
    </cfRule>
    <cfRule type="cellIs" dxfId="1685" priority="1834" stopIfTrue="1" operator="between">
      <formula>14.1</formula>
      <formula>35</formula>
    </cfRule>
    <cfRule type="cellIs" dxfId="1684" priority="1835" stopIfTrue="1" operator="between">
      <formula>5.1</formula>
      <formula>14</formula>
    </cfRule>
    <cfRule type="cellIs" dxfId="1683" priority="1836" stopIfTrue="1" operator="between">
      <formula>0</formula>
      <formula>5</formula>
    </cfRule>
    <cfRule type="containsBlanks" dxfId="1682" priority="1837" stopIfTrue="1">
      <formula>LEN(TRIM(Q60))=0</formula>
    </cfRule>
  </conditionalFormatting>
  <conditionalFormatting sqref="S60:S65 S148:S152 S535:S552 S69:S88 S107 S109:S142 S427:S435 S437:S487 S203:S265 S489:S532 S90:S105 S154:S201 S349:S424">
    <cfRule type="containsText" dxfId="1681" priority="1826" stopIfTrue="1" operator="containsText" text="INVIABLE SANITARIAMENTE">
      <formula>NOT(ISERROR(SEARCH("INVIABLE SANITARIAMENTE",S60)))</formula>
    </cfRule>
    <cfRule type="containsText" dxfId="1680" priority="1827" stopIfTrue="1" operator="containsText" text="ALTO">
      <formula>NOT(ISERROR(SEARCH("ALTO",S60)))</formula>
    </cfRule>
    <cfRule type="containsText" dxfId="1679" priority="1828" stopIfTrue="1" operator="containsText" text="MEDIO">
      <formula>NOT(ISERROR(SEARCH("MEDIO",S60)))</formula>
    </cfRule>
    <cfRule type="containsText" dxfId="1678" priority="1829" stopIfTrue="1" operator="containsText" text="BAJO">
      <formula>NOT(ISERROR(SEARCH("BAJO",S60)))</formula>
    </cfRule>
    <cfRule type="containsText" dxfId="1677" priority="1830" stopIfTrue="1" operator="containsText" text="SIN RIESGO">
      <formula>NOT(ISERROR(SEARCH("SIN RIESGO",S60)))</formula>
    </cfRule>
  </conditionalFormatting>
  <conditionalFormatting sqref="S60:S65 S148:S152 S535:S552 S69:S88 S107 S109:S142 S427:S435 S437:S487 S203:S265 S489:S532 S90:S105 S154:S201 S349:S424">
    <cfRule type="containsText" dxfId="1676" priority="1825" stopIfTrue="1" operator="containsText" text="SIN RIESGO">
      <formula>NOT(ISERROR(SEARCH("SIN RIESGO",S60)))</formula>
    </cfRule>
  </conditionalFormatting>
  <conditionalFormatting sqref="R407:R417">
    <cfRule type="cellIs" dxfId="1675" priority="1803" stopIfTrue="1" operator="equal">
      <formula>"NO"</formula>
    </cfRule>
  </conditionalFormatting>
  <conditionalFormatting sqref="Q407:Q417">
    <cfRule type="containsBlanks" dxfId="1674" priority="1795" stopIfTrue="1">
      <formula>LEN(TRIM(Q407))=0</formula>
    </cfRule>
    <cfRule type="cellIs" dxfId="1673" priority="1796" stopIfTrue="1" operator="between">
      <formula>80.1</formula>
      <formula>100</formula>
    </cfRule>
    <cfRule type="cellIs" dxfId="1672" priority="1797" stopIfTrue="1" operator="between">
      <formula>35.1</formula>
      <formula>80</formula>
    </cfRule>
    <cfRule type="cellIs" dxfId="1671" priority="1798" stopIfTrue="1" operator="between">
      <formula>14.1</formula>
      <formula>35</formula>
    </cfRule>
    <cfRule type="cellIs" dxfId="1670" priority="1799" stopIfTrue="1" operator="between">
      <formula>5.1</formula>
      <formula>14</formula>
    </cfRule>
    <cfRule type="cellIs" dxfId="1669" priority="1800" stopIfTrue="1" operator="between">
      <formula>0</formula>
      <formula>5</formula>
    </cfRule>
    <cfRule type="containsBlanks" dxfId="1668" priority="1801" stopIfTrue="1">
      <formula>LEN(TRIM(Q407))=0</formula>
    </cfRule>
  </conditionalFormatting>
  <conditionalFormatting sqref="R143">
    <cfRule type="cellIs" dxfId="1667" priority="1786" stopIfTrue="1" operator="equal">
      <formula>"NO"</formula>
    </cfRule>
  </conditionalFormatting>
  <conditionalFormatting sqref="S143">
    <cfRule type="cellIs" dxfId="1666" priority="1787" stopIfTrue="1" operator="equal">
      <formula>"INVIABLE SANITARIAMENTE"</formula>
    </cfRule>
  </conditionalFormatting>
  <conditionalFormatting sqref="Q143">
    <cfRule type="containsBlanks" dxfId="1665" priority="1779" stopIfTrue="1">
      <formula>LEN(TRIM(Q143))=0</formula>
    </cfRule>
    <cfRule type="cellIs" dxfId="1664" priority="1780" stopIfTrue="1" operator="between">
      <formula>80.1</formula>
      <formula>100</formula>
    </cfRule>
    <cfRule type="cellIs" dxfId="1663" priority="1781" stopIfTrue="1" operator="between">
      <formula>35.1</formula>
      <formula>80</formula>
    </cfRule>
    <cfRule type="cellIs" dxfId="1662" priority="1782" stopIfTrue="1" operator="between">
      <formula>14.1</formula>
      <formula>35</formula>
    </cfRule>
    <cfRule type="cellIs" dxfId="1661" priority="1783" stopIfTrue="1" operator="between">
      <formula>5.1</formula>
      <formula>14</formula>
    </cfRule>
    <cfRule type="cellIs" dxfId="1660" priority="1784" stopIfTrue="1" operator="between">
      <formula>0</formula>
      <formula>5</formula>
    </cfRule>
    <cfRule type="containsBlanks" dxfId="1659" priority="1785" stopIfTrue="1">
      <formula>LEN(TRIM(Q143))=0</formula>
    </cfRule>
  </conditionalFormatting>
  <conditionalFormatting sqref="S143">
    <cfRule type="containsText" dxfId="1658" priority="1774" stopIfTrue="1" operator="containsText" text="INVIABLE SANITARIAMENTE">
      <formula>NOT(ISERROR(SEARCH("INVIABLE SANITARIAMENTE",S143)))</formula>
    </cfRule>
    <cfRule type="containsText" dxfId="1657" priority="1775" stopIfTrue="1" operator="containsText" text="ALTO">
      <formula>NOT(ISERROR(SEARCH("ALTO",S143)))</formula>
    </cfRule>
    <cfRule type="containsText" dxfId="1656" priority="1776" stopIfTrue="1" operator="containsText" text="MEDIO">
      <formula>NOT(ISERROR(SEARCH("MEDIO",S143)))</formula>
    </cfRule>
    <cfRule type="containsText" dxfId="1655" priority="1777" stopIfTrue="1" operator="containsText" text="BAJO">
      <formula>NOT(ISERROR(SEARCH("BAJO",S143)))</formula>
    </cfRule>
    <cfRule type="containsText" dxfId="1654" priority="1778" stopIfTrue="1" operator="containsText" text="SIN RIESGO">
      <formula>NOT(ISERROR(SEARCH("SIN RIESGO",S143)))</formula>
    </cfRule>
  </conditionalFormatting>
  <conditionalFormatting sqref="S143">
    <cfRule type="containsText" dxfId="1653" priority="1773" stopIfTrue="1" operator="containsText" text="SIN RIESGO">
      <formula>NOT(ISERROR(SEARCH("SIN RIESGO",S143)))</formula>
    </cfRule>
  </conditionalFormatting>
  <conditionalFormatting sqref="Q143">
    <cfRule type="containsBlanks" dxfId="1652" priority="1766" stopIfTrue="1">
      <formula>LEN(TRIM(Q143))=0</formula>
    </cfRule>
    <cfRule type="cellIs" dxfId="1651" priority="1767" stopIfTrue="1" operator="between">
      <formula>79.1</formula>
      <formula>100</formula>
    </cfRule>
    <cfRule type="cellIs" dxfId="1650" priority="1768" stopIfTrue="1" operator="between">
      <formula>34.1</formula>
      <formula>79</formula>
    </cfRule>
    <cfRule type="cellIs" dxfId="1649" priority="1769" stopIfTrue="1" operator="between">
      <formula>13.1</formula>
      <formula>34</formula>
    </cfRule>
    <cfRule type="cellIs" dxfId="1648" priority="1770" stopIfTrue="1" operator="between">
      <formula>5.1</formula>
      <formula>13</formula>
    </cfRule>
    <cfRule type="cellIs" dxfId="1647" priority="1771" stopIfTrue="1" operator="between">
      <formula>0</formula>
      <formula>5</formula>
    </cfRule>
    <cfRule type="containsBlanks" dxfId="1646" priority="1772" stopIfTrue="1">
      <formula>LEN(TRIM(Q143))=0</formula>
    </cfRule>
  </conditionalFormatting>
  <conditionalFormatting sqref="S143">
    <cfRule type="cellIs" dxfId="1645" priority="1765" stopIfTrue="1" operator="equal">
      <formula>"INVIABLE SANITARIAMENTE"</formula>
    </cfRule>
  </conditionalFormatting>
  <conditionalFormatting sqref="S143">
    <cfRule type="containsText" dxfId="1644" priority="1760" stopIfTrue="1" operator="containsText" text="INVIABLE SANITARIAMENTE">
      <formula>NOT(ISERROR(SEARCH("INVIABLE SANITARIAMENTE",S143)))</formula>
    </cfRule>
    <cfRule type="containsText" dxfId="1643" priority="1761" stopIfTrue="1" operator="containsText" text="ALTO">
      <formula>NOT(ISERROR(SEARCH("ALTO",S143)))</formula>
    </cfRule>
    <cfRule type="containsText" dxfId="1642" priority="1762" stopIfTrue="1" operator="containsText" text="MEDIO">
      <formula>NOT(ISERROR(SEARCH("MEDIO",S143)))</formula>
    </cfRule>
    <cfRule type="containsText" dxfId="1641" priority="1763" stopIfTrue="1" operator="containsText" text="BAJO">
      <formula>NOT(ISERROR(SEARCH("BAJO",S143)))</formula>
    </cfRule>
    <cfRule type="containsText" dxfId="1640" priority="1764" stopIfTrue="1" operator="containsText" text="SIN RIESGO">
      <formula>NOT(ISERROR(SEARCH("SIN RIESGO",S143)))</formula>
    </cfRule>
  </conditionalFormatting>
  <conditionalFormatting sqref="S143">
    <cfRule type="containsText" dxfId="1639" priority="1759" stopIfTrue="1" operator="containsText" text="SIN RIESGO">
      <formula>NOT(ISERROR(SEARCH("SIN RIESGO",S143)))</formula>
    </cfRule>
  </conditionalFormatting>
  <conditionalFormatting sqref="S143">
    <cfRule type="cellIs" dxfId="1638" priority="1758" stopIfTrue="1" operator="equal">
      <formula>"INVIABLE SANITARIAMENTE"</formula>
    </cfRule>
  </conditionalFormatting>
  <conditionalFormatting sqref="S143">
    <cfRule type="containsText" dxfId="1637" priority="1753" stopIfTrue="1" operator="containsText" text="INVIABLE SANITARIAMENTE">
      <formula>NOT(ISERROR(SEARCH("INVIABLE SANITARIAMENTE",S143)))</formula>
    </cfRule>
    <cfRule type="containsText" dxfId="1636" priority="1754" stopIfTrue="1" operator="containsText" text="ALTO">
      <formula>NOT(ISERROR(SEARCH("ALTO",S143)))</formula>
    </cfRule>
    <cfRule type="containsText" dxfId="1635" priority="1755" stopIfTrue="1" operator="containsText" text="MEDIO">
      <formula>NOT(ISERROR(SEARCH("MEDIO",S143)))</formula>
    </cfRule>
    <cfRule type="containsText" dxfId="1634" priority="1756" stopIfTrue="1" operator="containsText" text="BAJO">
      <formula>NOT(ISERROR(SEARCH("BAJO",S143)))</formula>
    </cfRule>
    <cfRule type="containsText" dxfId="1633" priority="1757" stopIfTrue="1" operator="containsText" text="SIN RIESGO">
      <formula>NOT(ISERROR(SEARCH("SIN RIESGO",S143)))</formula>
    </cfRule>
  </conditionalFormatting>
  <conditionalFormatting sqref="S143">
    <cfRule type="containsText" dxfId="1632" priority="1752" stopIfTrue="1" operator="containsText" text="SIN RIESGO">
      <formula>NOT(ISERROR(SEARCH("SIN RIESGO",S143)))</formula>
    </cfRule>
  </conditionalFormatting>
  <conditionalFormatting sqref="R144">
    <cfRule type="cellIs" dxfId="1631" priority="1750" stopIfTrue="1" operator="equal">
      <formula>"NO"</formula>
    </cfRule>
  </conditionalFormatting>
  <conditionalFormatting sqref="S144">
    <cfRule type="cellIs" dxfId="1630" priority="1751" stopIfTrue="1" operator="equal">
      <formula>"INVIABLE SANITARIAMENTE"</formula>
    </cfRule>
  </conditionalFormatting>
  <conditionalFormatting sqref="Q144">
    <cfRule type="containsBlanks" dxfId="1629" priority="1743" stopIfTrue="1">
      <formula>LEN(TRIM(Q144))=0</formula>
    </cfRule>
    <cfRule type="cellIs" dxfId="1628" priority="1744" stopIfTrue="1" operator="between">
      <formula>80.1</formula>
      <formula>100</formula>
    </cfRule>
    <cfRule type="cellIs" dxfId="1627" priority="1745" stopIfTrue="1" operator="between">
      <formula>35.1</formula>
      <formula>80</formula>
    </cfRule>
    <cfRule type="cellIs" dxfId="1626" priority="1746" stopIfTrue="1" operator="between">
      <formula>14.1</formula>
      <formula>35</formula>
    </cfRule>
    <cfRule type="cellIs" dxfId="1625" priority="1747" stopIfTrue="1" operator="between">
      <formula>5.1</formula>
      <formula>14</formula>
    </cfRule>
    <cfRule type="cellIs" dxfId="1624" priority="1748" stopIfTrue="1" operator="between">
      <formula>0</formula>
      <formula>5</formula>
    </cfRule>
    <cfRule type="containsBlanks" dxfId="1623" priority="1749" stopIfTrue="1">
      <formula>LEN(TRIM(Q144))=0</formula>
    </cfRule>
  </conditionalFormatting>
  <conditionalFormatting sqref="S144">
    <cfRule type="containsText" dxfId="1622" priority="1738" stopIfTrue="1" operator="containsText" text="INVIABLE SANITARIAMENTE">
      <formula>NOT(ISERROR(SEARCH("INVIABLE SANITARIAMENTE",S144)))</formula>
    </cfRule>
    <cfRule type="containsText" dxfId="1621" priority="1739" stopIfTrue="1" operator="containsText" text="ALTO">
      <formula>NOT(ISERROR(SEARCH("ALTO",S144)))</formula>
    </cfRule>
    <cfRule type="containsText" dxfId="1620" priority="1740" stopIfTrue="1" operator="containsText" text="MEDIO">
      <formula>NOT(ISERROR(SEARCH("MEDIO",S144)))</formula>
    </cfRule>
    <cfRule type="containsText" dxfId="1619" priority="1741" stopIfTrue="1" operator="containsText" text="BAJO">
      <formula>NOT(ISERROR(SEARCH("BAJO",S144)))</formula>
    </cfRule>
    <cfRule type="containsText" dxfId="1618" priority="1742" stopIfTrue="1" operator="containsText" text="SIN RIESGO">
      <formula>NOT(ISERROR(SEARCH("SIN RIESGO",S144)))</formula>
    </cfRule>
  </conditionalFormatting>
  <conditionalFormatting sqref="S144">
    <cfRule type="containsText" dxfId="1617" priority="1737" stopIfTrue="1" operator="containsText" text="SIN RIESGO">
      <formula>NOT(ISERROR(SEARCH("SIN RIESGO",S144)))</formula>
    </cfRule>
  </conditionalFormatting>
  <conditionalFormatting sqref="Q144">
    <cfRule type="containsBlanks" dxfId="1616" priority="1730" stopIfTrue="1">
      <formula>LEN(TRIM(Q144))=0</formula>
    </cfRule>
    <cfRule type="cellIs" dxfId="1615" priority="1731" stopIfTrue="1" operator="between">
      <formula>79.1</formula>
      <formula>100</formula>
    </cfRule>
    <cfRule type="cellIs" dxfId="1614" priority="1732" stopIfTrue="1" operator="between">
      <formula>34.1</formula>
      <formula>79</formula>
    </cfRule>
    <cfRule type="cellIs" dxfId="1613" priority="1733" stopIfTrue="1" operator="between">
      <formula>13.1</formula>
      <formula>34</formula>
    </cfRule>
    <cfRule type="cellIs" dxfId="1612" priority="1734" stopIfTrue="1" operator="between">
      <formula>5.1</formula>
      <formula>13</formula>
    </cfRule>
    <cfRule type="cellIs" dxfId="1611" priority="1735" stopIfTrue="1" operator="between">
      <formula>0</formula>
      <formula>5</formula>
    </cfRule>
    <cfRule type="containsBlanks" dxfId="1610" priority="1736" stopIfTrue="1">
      <formula>LEN(TRIM(Q144))=0</formula>
    </cfRule>
  </conditionalFormatting>
  <conditionalFormatting sqref="S144">
    <cfRule type="cellIs" dxfId="1609" priority="1729" stopIfTrue="1" operator="equal">
      <formula>"INVIABLE SANITARIAMENTE"</formula>
    </cfRule>
  </conditionalFormatting>
  <conditionalFormatting sqref="S144">
    <cfRule type="containsText" dxfId="1608" priority="1724" stopIfTrue="1" operator="containsText" text="INVIABLE SANITARIAMENTE">
      <formula>NOT(ISERROR(SEARCH("INVIABLE SANITARIAMENTE",S144)))</formula>
    </cfRule>
    <cfRule type="containsText" dxfId="1607" priority="1725" stopIfTrue="1" operator="containsText" text="ALTO">
      <formula>NOT(ISERROR(SEARCH("ALTO",S144)))</formula>
    </cfRule>
    <cfRule type="containsText" dxfId="1606" priority="1726" stopIfTrue="1" operator="containsText" text="MEDIO">
      <formula>NOT(ISERROR(SEARCH("MEDIO",S144)))</formula>
    </cfRule>
    <cfRule type="containsText" dxfId="1605" priority="1727" stopIfTrue="1" operator="containsText" text="BAJO">
      <formula>NOT(ISERROR(SEARCH("BAJO",S144)))</formula>
    </cfRule>
    <cfRule type="containsText" dxfId="1604" priority="1728" stopIfTrue="1" operator="containsText" text="SIN RIESGO">
      <formula>NOT(ISERROR(SEARCH("SIN RIESGO",S144)))</formula>
    </cfRule>
  </conditionalFormatting>
  <conditionalFormatting sqref="S144">
    <cfRule type="containsText" dxfId="1603" priority="1723" stopIfTrue="1" operator="containsText" text="SIN RIESGO">
      <formula>NOT(ISERROR(SEARCH("SIN RIESGO",S144)))</formula>
    </cfRule>
  </conditionalFormatting>
  <conditionalFormatting sqref="S144">
    <cfRule type="cellIs" dxfId="1602" priority="1722" stopIfTrue="1" operator="equal">
      <formula>"INVIABLE SANITARIAMENTE"</formula>
    </cfRule>
  </conditionalFormatting>
  <conditionalFormatting sqref="S144">
    <cfRule type="containsText" dxfId="1601" priority="1717" stopIfTrue="1" operator="containsText" text="INVIABLE SANITARIAMENTE">
      <formula>NOT(ISERROR(SEARCH("INVIABLE SANITARIAMENTE",S144)))</formula>
    </cfRule>
    <cfRule type="containsText" dxfId="1600" priority="1718" stopIfTrue="1" operator="containsText" text="ALTO">
      <formula>NOT(ISERROR(SEARCH("ALTO",S144)))</formula>
    </cfRule>
    <cfRule type="containsText" dxfId="1599" priority="1719" stopIfTrue="1" operator="containsText" text="MEDIO">
      <formula>NOT(ISERROR(SEARCH("MEDIO",S144)))</formula>
    </cfRule>
    <cfRule type="containsText" dxfId="1598" priority="1720" stopIfTrue="1" operator="containsText" text="BAJO">
      <formula>NOT(ISERROR(SEARCH("BAJO",S144)))</formula>
    </cfRule>
    <cfRule type="containsText" dxfId="1597" priority="1721" stopIfTrue="1" operator="containsText" text="SIN RIESGO">
      <formula>NOT(ISERROR(SEARCH("SIN RIESGO",S144)))</formula>
    </cfRule>
  </conditionalFormatting>
  <conditionalFormatting sqref="S144">
    <cfRule type="containsText" dxfId="1596" priority="1716" stopIfTrue="1" operator="containsText" text="SIN RIESGO">
      <formula>NOT(ISERROR(SEARCH("SIN RIESGO",S144)))</formula>
    </cfRule>
  </conditionalFormatting>
  <conditionalFormatting sqref="R145">
    <cfRule type="cellIs" dxfId="1595" priority="1714" stopIfTrue="1" operator="equal">
      <formula>"NO"</formula>
    </cfRule>
  </conditionalFormatting>
  <conditionalFormatting sqref="S145">
    <cfRule type="cellIs" dxfId="1594" priority="1715" stopIfTrue="1" operator="equal">
      <formula>"INVIABLE SANITARIAMENTE"</formula>
    </cfRule>
  </conditionalFormatting>
  <conditionalFormatting sqref="Q145">
    <cfRule type="containsBlanks" dxfId="1593" priority="1707" stopIfTrue="1">
      <formula>LEN(TRIM(Q145))=0</formula>
    </cfRule>
    <cfRule type="cellIs" dxfId="1592" priority="1708" stopIfTrue="1" operator="between">
      <formula>80.1</formula>
      <formula>100</formula>
    </cfRule>
    <cfRule type="cellIs" dxfId="1591" priority="1709" stopIfTrue="1" operator="between">
      <formula>35.1</formula>
      <formula>80</formula>
    </cfRule>
    <cfRule type="cellIs" dxfId="1590" priority="1710" stopIfTrue="1" operator="between">
      <formula>14.1</formula>
      <formula>35</formula>
    </cfRule>
    <cfRule type="cellIs" dxfId="1589" priority="1711" stopIfTrue="1" operator="between">
      <formula>5.1</formula>
      <formula>14</formula>
    </cfRule>
    <cfRule type="cellIs" dxfId="1588" priority="1712" stopIfTrue="1" operator="between">
      <formula>0</formula>
      <formula>5</formula>
    </cfRule>
    <cfRule type="containsBlanks" dxfId="1587" priority="1713" stopIfTrue="1">
      <formula>LEN(TRIM(Q145))=0</formula>
    </cfRule>
  </conditionalFormatting>
  <conditionalFormatting sqref="S145">
    <cfRule type="containsText" dxfId="1586" priority="1702" stopIfTrue="1" operator="containsText" text="INVIABLE SANITARIAMENTE">
      <formula>NOT(ISERROR(SEARCH("INVIABLE SANITARIAMENTE",S145)))</formula>
    </cfRule>
    <cfRule type="containsText" dxfId="1585" priority="1703" stopIfTrue="1" operator="containsText" text="ALTO">
      <formula>NOT(ISERROR(SEARCH("ALTO",S145)))</formula>
    </cfRule>
    <cfRule type="containsText" dxfId="1584" priority="1704" stopIfTrue="1" operator="containsText" text="MEDIO">
      <formula>NOT(ISERROR(SEARCH("MEDIO",S145)))</formula>
    </cfRule>
    <cfRule type="containsText" dxfId="1583" priority="1705" stopIfTrue="1" operator="containsText" text="BAJO">
      <formula>NOT(ISERROR(SEARCH("BAJO",S145)))</formula>
    </cfRule>
    <cfRule type="containsText" dxfId="1582" priority="1706" stopIfTrue="1" operator="containsText" text="SIN RIESGO">
      <formula>NOT(ISERROR(SEARCH("SIN RIESGO",S145)))</formula>
    </cfRule>
  </conditionalFormatting>
  <conditionalFormatting sqref="S145">
    <cfRule type="containsText" dxfId="1581" priority="1701" stopIfTrue="1" operator="containsText" text="SIN RIESGO">
      <formula>NOT(ISERROR(SEARCH("SIN RIESGO",S145)))</formula>
    </cfRule>
  </conditionalFormatting>
  <conditionalFormatting sqref="Q145">
    <cfRule type="containsBlanks" dxfId="1580" priority="1694" stopIfTrue="1">
      <formula>LEN(TRIM(Q145))=0</formula>
    </cfRule>
    <cfRule type="cellIs" dxfId="1579" priority="1695" stopIfTrue="1" operator="between">
      <formula>79.1</formula>
      <formula>100</formula>
    </cfRule>
    <cfRule type="cellIs" dxfId="1578" priority="1696" stopIfTrue="1" operator="between">
      <formula>34.1</formula>
      <formula>79</formula>
    </cfRule>
    <cfRule type="cellIs" dxfId="1577" priority="1697" stopIfTrue="1" operator="between">
      <formula>13.1</formula>
      <formula>34</formula>
    </cfRule>
    <cfRule type="cellIs" dxfId="1576" priority="1698" stopIfTrue="1" operator="between">
      <formula>5.1</formula>
      <formula>13</formula>
    </cfRule>
    <cfRule type="cellIs" dxfId="1575" priority="1699" stopIfTrue="1" operator="between">
      <formula>0</formula>
      <formula>5</formula>
    </cfRule>
    <cfRule type="containsBlanks" dxfId="1574" priority="1700" stopIfTrue="1">
      <formula>LEN(TRIM(Q145))=0</formula>
    </cfRule>
  </conditionalFormatting>
  <conditionalFormatting sqref="S145">
    <cfRule type="cellIs" dxfId="1573" priority="1693" stopIfTrue="1" operator="equal">
      <formula>"INVIABLE SANITARIAMENTE"</formula>
    </cfRule>
  </conditionalFormatting>
  <conditionalFormatting sqref="S145">
    <cfRule type="containsText" dxfId="1572" priority="1688" stopIfTrue="1" operator="containsText" text="INVIABLE SANITARIAMENTE">
      <formula>NOT(ISERROR(SEARCH("INVIABLE SANITARIAMENTE",S145)))</formula>
    </cfRule>
    <cfRule type="containsText" dxfId="1571" priority="1689" stopIfTrue="1" operator="containsText" text="ALTO">
      <formula>NOT(ISERROR(SEARCH("ALTO",S145)))</formula>
    </cfRule>
    <cfRule type="containsText" dxfId="1570" priority="1690" stopIfTrue="1" operator="containsText" text="MEDIO">
      <formula>NOT(ISERROR(SEARCH("MEDIO",S145)))</formula>
    </cfRule>
    <cfRule type="containsText" dxfId="1569" priority="1691" stopIfTrue="1" operator="containsText" text="BAJO">
      <formula>NOT(ISERROR(SEARCH("BAJO",S145)))</formula>
    </cfRule>
    <cfRule type="containsText" dxfId="1568" priority="1692" stopIfTrue="1" operator="containsText" text="SIN RIESGO">
      <formula>NOT(ISERROR(SEARCH("SIN RIESGO",S145)))</formula>
    </cfRule>
  </conditionalFormatting>
  <conditionalFormatting sqref="S145">
    <cfRule type="containsText" dxfId="1567" priority="1687" stopIfTrue="1" operator="containsText" text="SIN RIESGO">
      <formula>NOT(ISERROR(SEARCH("SIN RIESGO",S145)))</formula>
    </cfRule>
  </conditionalFormatting>
  <conditionalFormatting sqref="S145">
    <cfRule type="cellIs" dxfId="1566" priority="1686" stopIfTrue="1" operator="equal">
      <formula>"INVIABLE SANITARIAMENTE"</formula>
    </cfRule>
  </conditionalFormatting>
  <conditionalFormatting sqref="S145">
    <cfRule type="containsText" dxfId="1565" priority="1681" stopIfTrue="1" operator="containsText" text="INVIABLE SANITARIAMENTE">
      <formula>NOT(ISERROR(SEARCH("INVIABLE SANITARIAMENTE",S145)))</formula>
    </cfRule>
    <cfRule type="containsText" dxfId="1564" priority="1682" stopIfTrue="1" operator="containsText" text="ALTO">
      <formula>NOT(ISERROR(SEARCH("ALTO",S145)))</formula>
    </cfRule>
    <cfRule type="containsText" dxfId="1563" priority="1683" stopIfTrue="1" operator="containsText" text="MEDIO">
      <formula>NOT(ISERROR(SEARCH("MEDIO",S145)))</formula>
    </cfRule>
    <cfRule type="containsText" dxfId="1562" priority="1684" stopIfTrue="1" operator="containsText" text="BAJO">
      <formula>NOT(ISERROR(SEARCH("BAJO",S145)))</formula>
    </cfRule>
    <cfRule type="containsText" dxfId="1561" priority="1685" stopIfTrue="1" operator="containsText" text="SIN RIESGO">
      <formula>NOT(ISERROR(SEARCH("SIN RIESGO",S145)))</formula>
    </cfRule>
  </conditionalFormatting>
  <conditionalFormatting sqref="S145">
    <cfRule type="containsText" dxfId="1560" priority="1680" stopIfTrue="1" operator="containsText" text="SIN RIESGO">
      <formula>NOT(ISERROR(SEARCH("SIN RIESGO",S145)))</formula>
    </cfRule>
  </conditionalFormatting>
  <conditionalFormatting sqref="R146">
    <cfRule type="cellIs" dxfId="1559" priority="1678" stopIfTrue="1" operator="equal">
      <formula>"NO"</formula>
    </cfRule>
  </conditionalFormatting>
  <conditionalFormatting sqref="S146">
    <cfRule type="cellIs" dxfId="1558" priority="1679" stopIfTrue="1" operator="equal">
      <formula>"INVIABLE SANITARIAMENTE"</formula>
    </cfRule>
  </conditionalFormatting>
  <conditionalFormatting sqref="Q146">
    <cfRule type="containsBlanks" dxfId="1557" priority="1671" stopIfTrue="1">
      <formula>LEN(TRIM(Q146))=0</formula>
    </cfRule>
    <cfRule type="cellIs" dxfId="1556" priority="1672" stopIfTrue="1" operator="between">
      <formula>80.1</formula>
      <formula>100</formula>
    </cfRule>
    <cfRule type="cellIs" dxfId="1555" priority="1673" stopIfTrue="1" operator="between">
      <formula>35.1</formula>
      <formula>80</formula>
    </cfRule>
    <cfRule type="cellIs" dxfId="1554" priority="1674" stopIfTrue="1" operator="between">
      <formula>14.1</formula>
      <formula>35</formula>
    </cfRule>
    <cfRule type="cellIs" dxfId="1553" priority="1675" stopIfTrue="1" operator="between">
      <formula>5.1</formula>
      <formula>14</formula>
    </cfRule>
    <cfRule type="cellIs" dxfId="1552" priority="1676" stopIfTrue="1" operator="between">
      <formula>0</formula>
      <formula>5</formula>
    </cfRule>
    <cfRule type="containsBlanks" dxfId="1551" priority="1677" stopIfTrue="1">
      <formula>LEN(TRIM(Q146))=0</formula>
    </cfRule>
  </conditionalFormatting>
  <conditionalFormatting sqref="S146">
    <cfRule type="containsText" dxfId="1550" priority="1666" stopIfTrue="1" operator="containsText" text="INVIABLE SANITARIAMENTE">
      <formula>NOT(ISERROR(SEARCH("INVIABLE SANITARIAMENTE",S146)))</formula>
    </cfRule>
    <cfRule type="containsText" dxfId="1549" priority="1667" stopIfTrue="1" operator="containsText" text="ALTO">
      <formula>NOT(ISERROR(SEARCH("ALTO",S146)))</formula>
    </cfRule>
    <cfRule type="containsText" dxfId="1548" priority="1668" stopIfTrue="1" operator="containsText" text="MEDIO">
      <formula>NOT(ISERROR(SEARCH("MEDIO",S146)))</formula>
    </cfRule>
    <cfRule type="containsText" dxfId="1547" priority="1669" stopIfTrue="1" operator="containsText" text="BAJO">
      <formula>NOT(ISERROR(SEARCH("BAJO",S146)))</formula>
    </cfRule>
    <cfRule type="containsText" dxfId="1546" priority="1670" stopIfTrue="1" operator="containsText" text="SIN RIESGO">
      <formula>NOT(ISERROR(SEARCH("SIN RIESGO",S146)))</formula>
    </cfRule>
  </conditionalFormatting>
  <conditionalFormatting sqref="S146">
    <cfRule type="containsText" dxfId="1545" priority="1665" stopIfTrue="1" operator="containsText" text="SIN RIESGO">
      <formula>NOT(ISERROR(SEARCH("SIN RIESGO",S146)))</formula>
    </cfRule>
  </conditionalFormatting>
  <conditionalFormatting sqref="Q146">
    <cfRule type="containsBlanks" dxfId="1544" priority="1658" stopIfTrue="1">
      <formula>LEN(TRIM(Q146))=0</formula>
    </cfRule>
    <cfRule type="cellIs" dxfId="1543" priority="1659" stopIfTrue="1" operator="between">
      <formula>79.1</formula>
      <formula>100</formula>
    </cfRule>
    <cfRule type="cellIs" dxfId="1542" priority="1660" stopIfTrue="1" operator="between">
      <formula>34.1</formula>
      <formula>79</formula>
    </cfRule>
    <cfRule type="cellIs" dxfId="1541" priority="1661" stopIfTrue="1" operator="between">
      <formula>13.1</formula>
      <formula>34</formula>
    </cfRule>
    <cfRule type="cellIs" dxfId="1540" priority="1662" stopIfTrue="1" operator="between">
      <formula>5.1</formula>
      <formula>13</formula>
    </cfRule>
    <cfRule type="cellIs" dxfId="1539" priority="1663" stopIfTrue="1" operator="between">
      <formula>0</formula>
      <formula>5</formula>
    </cfRule>
    <cfRule type="containsBlanks" dxfId="1538" priority="1664" stopIfTrue="1">
      <formula>LEN(TRIM(Q146))=0</formula>
    </cfRule>
  </conditionalFormatting>
  <conditionalFormatting sqref="S146">
    <cfRule type="cellIs" dxfId="1537" priority="1657" stopIfTrue="1" operator="equal">
      <formula>"INVIABLE SANITARIAMENTE"</formula>
    </cfRule>
  </conditionalFormatting>
  <conditionalFormatting sqref="S146">
    <cfRule type="containsText" dxfId="1536" priority="1652" stopIfTrue="1" operator="containsText" text="INVIABLE SANITARIAMENTE">
      <formula>NOT(ISERROR(SEARCH("INVIABLE SANITARIAMENTE",S146)))</formula>
    </cfRule>
    <cfRule type="containsText" dxfId="1535" priority="1653" stopIfTrue="1" operator="containsText" text="ALTO">
      <formula>NOT(ISERROR(SEARCH("ALTO",S146)))</formula>
    </cfRule>
    <cfRule type="containsText" dxfId="1534" priority="1654" stopIfTrue="1" operator="containsText" text="MEDIO">
      <formula>NOT(ISERROR(SEARCH("MEDIO",S146)))</formula>
    </cfRule>
    <cfRule type="containsText" dxfId="1533" priority="1655" stopIfTrue="1" operator="containsText" text="BAJO">
      <formula>NOT(ISERROR(SEARCH("BAJO",S146)))</formula>
    </cfRule>
    <cfRule type="containsText" dxfId="1532" priority="1656" stopIfTrue="1" operator="containsText" text="SIN RIESGO">
      <formula>NOT(ISERROR(SEARCH("SIN RIESGO",S146)))</formula>
    </cfRule>
  </conditionalFormatting>
  <conditionalFormatting sqref="S146">
    <cfRule type="containsText" dxfId="1531" priority="1651" stopIfTrue="1" operator="containsText" text="SIN RIESGO">
      <formula>NOT(ISERROR(SEARCH("SIN RIESGO",S146)))</formula>
    </cfRule>
  </conditionalFormatting>
  <conditionalFormatting sqref="S146">
    <cfRule type="cellIs" dxfId="1530" priority="1650" stopIfTrue="1" operator="equal">
      <formula>"INVIABLE SANITARIAMENTE"</formula>
    </cfRule>
  </conditionalFormatting>
  <conditionalFormatting sqref="S146">
    <cfRule type="containsText" dxfId="1529" priority="1645" stopIfTrue="1" operator="containsText" text="INVIABLE SANITARIAMENTE">
      <formula>NOT(ISERROR(SEARCH("INVIABLE SANITARIAMENTE",S146)))</formula>
    </cfRule>
    <cfRule type="containsText" dxfId="1528" priority="1646" stopIfTrue="1" operator="containsText" text="ALTO">
      <formula>NOT(ISERROR(SEARCH("ALTO",S146)))</formula>
    </cfRule>
    <cfRule type="containsText" dxfId="1527" priority="1647" stopIfTrue="1" operator="containsText" text="MEDIO">
      <formula>NOT(ISERROR(SEARCH("MEDIO",S146)))</formula>
    </cfRule>
    <cfRule type="containsText" dxfId="1526" priority="1648" stopIfTrue="1" operator="containsText" text="BAJO">
      <formula>NOT(ISERROR(SEARCH("BAJO",S146)))</formula>
    </cfRule>
    <cfRule type="containsText" dxfId="1525" priority="1649" stopIfTrue="1" operator="containsText" text="SIN RIESGO">
      <formula>NOT(ISERROR(SEARCH("SIN RIESGO",S146)))</formula>
    </cfRule>
  </conditionalFormatting>
  <conditionalFormatting sqref="S146">
    <cfRule type="containsText" dxfId="1524" priority="1644" stopIfTrue="1" operator="containsText" text="SIN RIESGO">
      <formula>NOT(ISERROR(SEARCH("SIN RIESGO",S146)))</formula>
    </cfRule>
  </conditionalFormatting>
  <conditionalFormatting sqref="R147">
    <cfRule type="cellIs" dxfId="1523" priority="1642" stopIfTrue="1" operator="equal">
      <formula>"NO"</formula>
    </cfRule>
  </conditionalFormatting>
  <conditionalFormatting sqref="S147">
    <cfRule type="cellIs" dxfId="1522" priority="1643" stopIfTrue="1" operator="equal">
      <formula>"INVIABLE SANITARIAMENTE"</formula>
    </cfRule>
  </conditionalFormatting>
  <conditionalFormatting sqref="Q147">
    <cfRule type="containsBlanks" dxfId="1521" priority="1635" stopIfTrue="1">
      <formula>LEN(TRIM(Q147))=0</formula>
    </cfRule>
    <cfRule type="cellIs" dxfId="1520" priority="1636" stopIfTrue="1" operator="between">
      <formula>80.1</formula>
      <formula>100</formula>
    </cfRule>
    <cfRule type="cellIs" dxfId="1519" priority="1637" stopIfTrue="1" operator="between">
      <formula>35.1</formula>
      <formula>80</formula>
    </cfRule>
    <cfRule type="cellIs" dxfId="1518" priority="1638" stopIfTrue="1" operator="between">
      <formula>14.1</formula>
      <formula>35</formula>
    </cfRule>
    <cfRule type="cellIs" dxfId="1517" priority="1639" stopIfTrue="1" operator="between">
      <formula>5.1</formula>
      <formula>14</formula>
    </cfRule>
    <cfRule type="cellIs" dxfId="1516" priority="1640" stopIfTrue="1" operator="between">
      <formula>0</formula>
      <formula>5</formula>
    </cfRule>
    <cfRule type="containsBlanks" dxfId="1515" priority="1641" stopIfTrue="1">
      <formula>LEN(TRIM(Q147))=0</formula>
    </cfRule>
  </conditionalFormatting>
  <conditionalFormatting sqref="S147">
    <cfRule type="containsText" dxfId="1514" priority="1630" stopIfTrue="1" operator="containsText" text="INVIABLE SANITARIAMENTE">
      <formula>NOT(ISERROR(SEARCH("INVIABLE SANITARIAMENTE",S147)))</formula>
    </cfRule>
    <cfRule type="containsText" dxfId="1513" priority="1631" stopIfTrue="1" operator="containsText" text="ALTO">
      <formula>NOT(ISERROR(SEARCH("ALTO",S147)))</formula>
    </cfRule>
    <cfRule type="containsText" dxfId="1512" priority="1632" stopIfTrue="1" operator="containsText" text="MEDIO">
      <formula>NOT(ISERROR(SEARCH("MEDIO",S147)))</formula>
    </cfRule>
    <cfRule type="containsText" dxfId="1511" priority="1633" stopIfTrue="1" operator="containsText" text="BAJO">
      <formula>NOT(ISERROR(SEARCH("BAJO",S147)))</formula>
    </cfRule>
    <cfRule type="containsText" dxfId="1510" priority="1634" stopIfTrue="1" operator="containsText" text="SIN RIESGO">
      <formula>NOT(ISERROR(SEARCH("SIN RIESGO",S147)))</formula>
    </cfRule>
  </conditionalFormatting>
  <conditionalFormatting sqref="S147">
    <cfRule type="containsText" dxfId="1509" priority="1629" stopIfTrue="1" operator="containsText" text="SIN RIESGO">
      <formula>NOT(ISERROR(SEARCH("SIN RIESGO",S147)))</formula>
    </cfRule>
  </conditionalFormatting>
  <conditionalFormatting sqref="S147">
    <cfRule type="cellIs" dxfId="1508" priority="1621" stopIfTrue="1" operator="equal">
      <formula>"INVIABLE SANITARIAMENTE"</formula>
    </cfRule>
  </conditionalFormatting>
  <conditionalFormatting sqref="S147">
    <cfRule type="containsText" dxfId="1507" priority="1616" stopIfTrue="1" operator="containsText" text="INVIABLE SANITARIAMENTE">
      <formula>NOT(ISERROR(SEARCH("INVIABLE SANITARIAMENTE",S147)))</formula>
    </cfRule>
    <cfRule type="containsText" dxfId="1506" priority="1617" stopIfTrue="1" operator="containsText" text="ALTO">
      <formula>NOT(ISERROR(SEARCH("ALTO",S147)))</formula>
    </cfRule>
    <cfRule type="containsText" dxfId="1505" priority="1618" stopIfTrue="1" operator="containsText" text="MEDIO">
      <formula>NOT(ISERROR(SEARCH("MEDIO",S147)))</formula>
    </cfRule>
    <cfRule type="containsText" dxfId="1504" priority="1619" stopIfTrue="1" operator="containsText" text="BAJO">
      <formula>NOT(ISERROR(SEARCH("BAJO",S147)))</formula>
    </cfRule>
    <cfRule type="containsText" dxfId="1503" priority="1620" stopIfTrue="1" operator="containsText" text="SIN RIESGO">
      <formula>NOT(ISERROR(SEARCH("SIN RIESGO",S147)))</formula>
    </cfRule>
  </conditionalFormatting>
  <conditionalFormatting sqref="S147">
    <cfRule type="containsText" dxfId="1502" priority="1615" stopIfTrue="1" operator="containsText" text="SIN RIESGO">
      <formula>NOT(ISERROR(SEARCH("SIN RIESGO",S147)))</formula>
    </cfRule>
  </conditionalFormatting>
  <conditionalFormatting sqref="S147">
    <cfRule type="cellIs" dxfId="1501" priority="1614" stopIfTrue="1" operator="equal">
      <formula>"INVIABLE SANITARIAMENTE"</formula>
    </cfRule>
  </conditionalFormatting>
  <conditionalFormatting sqref="S147">
    <cfRule type="containsText" dxfId="1500" priority="1609" stopIfTrue="1" operator="containsText" text="INVIABLE SANITARIAMENTE">
      <formula>NOT(ISERROR(SEARCH("INVIABLE SANITARIAMENTE",S147)))</formula>
    </cfRule>
    <cfRule type="containsText" dxfId="1499" priority="1610" stopIfTrue="1" operator="containsText" text="ALTO">
      <formula>NOT(ISERROR(SEARCH("ALTO",S147)))</formula>
    </cfRule>
    <cfRule type="containsText" dxfId="1498" priority="1611" stopIfTrue="1" operator="containsText" text="MEDIO">
      <formula>NOT(ISERROR(SEARCH("MEDIO",S147)))</formula>
    </cfRule>
    <cfRule type="containsText" dxfId="1497" priority="1612" stopIfTrue="1" operator="containsText" text="BAJO">
      <formula>NOT(ISERROR(SEARCH("BAJO",S147)))</formula>
    </cfRule>
    <cfRule type="containsText" dxfId="1496" priority="1613" stopIfTrue="1" operator="containsText" text="SIN RIESGO">
      <formula>NOT(ISERROR(SEARCH("SIN RIESGO",S147)))</formula>
    </cfRule>
  </conditionalFormatting>
  <conditionalFormatting sqref="S147">
    <cfRule type="containsText" dxfId="1495" priority="1608" stopIfTrue="1" operator="containsText" text="SIN RIESGO">
      <formula>NOT(ISERROR(SEARCH("SIN RIESGO",S147)))</formula>
    </cfRule>
  </conditionalFormatting>
  <conditionalFormatting sqref="R202">
    <cfRule type="cellIs" dxfId="1494" priority="1606" stopIfTrue="1" operator="equal">
      <formula>"NO"</formula>
    </cfRule>
  </conditionalFormatting>
  <conditionalFormatting sqref="S202">
    <cfRule type="cellIs" dxfId="1493" priority="1607" stopIfTrue="1" operator="equal">
      <formula>"INVIABLE SANITARIAMENTE"</formula>
    </cfRule>
  </conditionalFormatting>
  <conditionalFormatting sqref="Q202">
    <cfRule type="containsBlanks" dxfId="1492" priority="1599" stopIfTrue="1">
      <formula>LEN(TRIM(Q202))=0</formula>
    </cfRule>
    <cfRule type="cellIs" dxfId="1491" priority="1600" stopIfTrue="1" operator="between">
      <formula>80.1</formula>
      <formula>100</formula>
    </cfRule>
    <cfRule type="cellIs" dxfId="1490" priority="1601" stopIfTrue="1" operator="between">
      <formula>35.1</formula>
      <formula>80</formula>
    </cfRule>
    <cfRule type="cellIs" dxfId="1489" priority="1602" stopIfTrue="1" operator="between">
      <formula>14.1</formula>
      <formula>35</formula>
    </cfRule>
    <cfRule type="cellIs" dxfId="1488" priority="1603" stopIfTrue="1" operator="between">
      <formula>5.1</formula>
      <formula>14</formula>
    </cfRule>
    <cfRule type="cellIs" dxfId="1487" priority="1604" stopIfTrue="1" operator="between">
      <formula>0</formula>
      <formula>5</formula>
    </cfRule>
    <cfRule type="containsBlanks" dxfId="1486" priority="1605" stopIfTrue="1">
      <formula>LEN(TRIM(Q202))=0</formula>
    </cfRule>
  </conditionalFormatting>
  <conditionalFormatting sqref="S202">
    <cfRule type="containsText" dxfId="1485" priority="1594" stopIfTrue="1" operator="containsText" text="INVIABLE SANITARIAMENTE">
      <formula>NOT(ISERROR(SEARCH("INVIABLE SANITARIAMENTE",S202)))</formula>
    </cfRule>
    <cfRule type="containsText" dxfId="1484" priority="1595" stopIfTrue="1" operator="containsText" text="ALTO">
      <formula>NOT(ISERROR(SEARCH("ALTO",S202)))</formula>
    </cfRule>
    <cfRule type="containsText" dxfId="1483" priority="1596" stopIfTrue="1" operator="containsText" text="MEDIO">
      <formula>NOT(ISERROR(SEARCH("MEDIO",S202)))</formula>
    </cfRule>
    <cfRule type="containsText" dxfId="1482" priority="1597" stopIfTrue="1" operator="containsText" text="BAJO">
      <formula>NOT(ISERROR(SEARCH("BAJO",S202)))</formula>
    </cfRule>
    <cfRule type="containsText" dxfId="1481" priority="1598" stopIfTrue="1" operator="containsText" text="SIN RIESGO">
      <formula>NOT(ISERROR(SEARCH("SIN RIESGO",S202)))</formula>
    </cfRule>
  </conditionalFormatting>
  <conditionalFormatting sqref="S202">
    <cfRule type="containsText" dxfId="1480" priority="1593" stopIfTrue="1" operator="containsText" text="SIN RIESGO">
      <formula>NOT(ISERROR(SEARCH("SIN RIESGO",S202)))</formula>
    </cfRule>
  </conditionalFormatting>
  <conditionalFormatting sqref="E202:Q202">
    <cfRule type="containsBlanks" dxfId="1479" priority="1586" stopIfTrue="1">
      <formula>LEN(TRIM(E202))=0</formula>
    </cfRule>
    <cfRule type="cellIs" dxfId="1478" priority="1587" stopIfTrue="1" operator="between">
      <formula>80.1</formula>
      <formula>100</formula>
    </cfRule>
    <cfRule type="cellIs" dxfId="1477" priority="1588" stopIfTrue="1" operator="between">
      <formula>35.1</formula>
      <formula>80</formula>
    </cfRule>
    <cfRule type="cellIs" dxfId="1476" priority="1589" stopIfTrue="1" operator="between">
      <formula>14.1</formula>
      <formula>35</formula>
    </cfRule>
    <cfRule type="cellIs" dxfId="1475" priority="1590" stopIfTrue="1" operator="between">
      <formula>5.1</formula>
      <formula>14</formula>
    </cfRule>
    <cfRule type="cellIs" dxfId="1474" priority="1591" stopIfTrue="1" operator="between">
      <formula>0</formula>
      <formula>5</formula>
    </cfRule>
    <cfRule type="containsBlanks" dxfId="1473" priority="1592" stopIfTrue="1">
      <formula>LEN(TRIM(E202))=0</formula>
    </cfRule>
  </conditionalFormatting>
  <conditionalFormatting sqref="S202">
    <cfRule type="cellIs" dxfId="1472" priority="1585" stopIfTrue="1" operator="equal">
      <formula>"INVIABLE SANITARIAMENTE"</formula>
    </cfRule>
  </conditionalFormatting>
  <conditionalFormatting sqref="S202">
    <cfRule type="containsText" dxfId="1471" priority="1580" stopIfTrue="1" operator="containsText" text="INVIABLE SANITARIAMENTE">
      <formula>NOT(ISERROR(SEARCH("INVIABLE SANITARIAMENTE",S202)))</formula>
    </cfRule>
    <cfRule type="containsText" dxfId="1470" priority="1581" stopIfTrue="1" operator="containsText" text="ALTO">
      <formula>NOT(ISERROR(SEARCH("ALTO",S202)))</formula>
    </cfRule>
    <cfRule type="containsText" dxfId="1469" priority="1582" stopIfTrue="1" operator="containsText" text="MEDIO">
      <formula>NOT(ISERROR(SEARCH("MEDIO",S202)))</formula>
    </cfRule>
    <cfRule type="containsText" dxfId="1468" priority="1583" stopIfTrue="1" operator="containsText" text="BAJO">
      <formula>NOT(ISERROR(SEARCH("BAJO",S202)))</formula>
    </cfRule>
    <cfRule type="containsText" dxfId="1467" priority="1584" stopIfTrue="1" operator="containsText" text="SIN RIESGO">
      <formula>NOT(ISERROR(SEARCH("SIN RIESGO",S202)))</formula>
    </cfRule>
  </conditionalFormatting>
  <conditionalFormatting sqref="S202">
    <cfRule type="containsText" dxfId="1466" priority="1579" stopIfTrue="1" operator="containsText" text="SIN RIESGO">
      <formula>NOT(ISERROR(SEARCH("SIN RIESGO",S202)))</formula>
    </cfRule>
  </conditionalFormatting>
  <conditionalFormatting sqref="S202">
    <cfRule type="cellIs" dxfId="1465" priority="1578" stopIfTrue="1" operator="equal">
      <formula>"INVIABLE SANITARIAMENTE"</formula>
    </cfRule>
  </conditionalFormatting>
  <conditionalFormatting sqref="S202">
    <cfRule type="containsText" dxfId="1464" priority="1573" stopIfTrue="1" operator="containsText" text="INVIABLE SANITARIAMENTE">
      <formula>NOT(ISERROR(SEARCH("INVIABLE SANITARIAMENTE",S202)))</formula>
    </cfRule>
    <cfRule type="containsText" dxfId="1463" priority="1574" stopIfTrue="1" operator="containsText" text="ALTO">
      <formula>NOT(ISERROR(SEARCH("ALTO",S202)))</formula>
    </cfRule>
    <cfRule type="containsText" dxfId="1462" priority="1575" stopIfTrue="1" operator="containsText" text="MEDIO">
      <formula>NOT(ISERROR(SEARCH("MEDIO",S202)))</formula>
    </cfRule>
    <cfRule type="containsText" dxfId="1461" priority="1576" stopIfTrue="1" operator="containsText" text="BAJO">
      <formula>NOT(ISERROR(SEARCH("BAJO",S202)))</formula>
    </cfRule>
    <cfRule type="containsText" dxfId="1460" priority="1577" stopIfTrue="1" operator="containsText" text="SIN RIESGO">
      <formula>NOT(ISERROR(SEARCH("SIN RIESGO",S202)))</formula>
    </cfRule>
  </conditionalFormatting>
  <conditionalFormatting sqref="S202">
    <cfRule type="containsText" dxfId="1459" priority="1572" stopIfTrue="1" operator="containsText" text="SIN RIESGO">
      <formula>NOT(ISERROR(SEARCH("SIN RIESGO",S202)))</formula>
    </cfRule>
  </conditionalFormatting>
  <conditionalFormatting sqref="E273">
    <cfRule type="containsBlanks" dxfId="1458" priority="1565" stopIfTrue="1">
      <formula>LEN(TRIM(E273))=0</formula>
    </cfRule>
    <cfRule type="cellIs" dxfId="1457" priority="1566" stopIfTrue="1" operator="between">
      <formula>79.1</formula>
      <formula>100</formula>
    </cfRule>
    <cfRule type="cellIs" dxfId="1456" priority="1567" stopIfTrue="1" operator="between">
      <formula>34.1</formula>
      <formula>79</formula>
    </cfRule>
    <cfRule type="cellIs" dxfId="1455" priority="1568" stopIfTrue="1" operator="between">
      <formula>13.1</formula>
      <formula>34</formula>
    </cfRule>
    <cfRule type="cellIs" dxfId="1454" priority="1569" stopIfTrue="1" operator="between">
      <formula>5.1</formula>
      <formula>13</formula>
    </cfRule>
    <cfRule type="cellIs" dxfId="1453" priority="1570" stopIfTrue="1" operator="between">
      <formula>0</formula>
      <formula>5</formula>
    </cfRule>
    <cfRule type="containsBlanks" dxfId="1452" priority="1571" stopIfTrue="1">
      <formula>LEN(TRIM(E273))=0</formula>
    </cfRule>
  </conditionalFormatting>
  <conditionalFormatting sqref="S488">
    <cfRule type="cellIs" dxfId="1451" priority="1564" stopIfTrue="1" operator="equal">
      <formula>"INVIABLE SANITARIAMENTE"</formula>
    </cfRule>
  </conditionalFormatting>
  <conditionalFormatting sqref="Q488">
    <cfRule type="containsBlanks" dxfId="1450" priority="1557" stopIfTrue="1">
      <formula>LEN(TRIM(Q488))=0</formula>
    </cfRule>
    <cfRule type="cellIs" dxfId="1449" priority="1558" stopIfTrue="1" operator="between">
      <formula>80.1</formula>
      <formula>100</formula>
    </cfRule>
    <cfRule type="cellIs" dxfId="1448" priority="1559" stopIfTrue="1" operator="between">
      <formula>35.1</formula>
      <formula>80</formula>
    </cfRule>
    <cfRule type="cellIs" dxfId="1447" priority="1560" stopIfTrue="1" operator="between">
      <formula>14.1</formula>
      <formula>35</formula>
    </cfRule>
    <cfRule type="cellIs" dxfId="1446" priority="1561" stopIfTrue="1" operator="between">
      <formula>5.1</formula>
      <formula>14</formula>
    </cfRule>
    <cfRule type="cellIs" dxfId="1445" priority="1562" stopIfTrue="1" operator="between">
      <formula>0</formula>
      <formula>5</formula>
    </cfRule>
    <cfRule type="containsBlanks" dxfId="1444" priority="1563" stopIfTrue="1">
      <formula>LEN(TRIM(Q488))=0</formula>
    </cfRule>
  </conditionalFormatting>
  <conditionalFormatting sqref="S488">
    <cfRule type="containsText" dxfId="1443" priority="1552" stopIfTrue="1" operator="containsText" text="INVIABLE SANITARIAMENTE">
      <formula>NOT(ISERROR(SEARCH("INVIABLE SANITARIAMENTE",S488)))</formula>
    </cfRule>
    <cfRule type="containsText" dxfId="1442" priority="1553" stopIfTrue="1" operator="containsText" text="ALTO">
      <formula>NOT(ISERROR(SEARCH("ALTO",S488)))</formula>
    </cfRule>
    <cfRule type="containsText" dxfId="1441" priority="1554" stopIfTrue="1" operator="containsText" text="MEDIO">
      <formula>NOT(ISERROR(SEARCH("MEDIO",S488)))</formula>
    </cfRule>
    <cfRule type="containsText" dxfId="1440" priority="1555" stopIfTrue="1" operator="containsText" text="BAJO">
      <formula>NOT(ISERROR(SEARCH("BAJO",S488)))</formula>
    </cfRule>
    <cfRule type="containsText" dxfId="1439" priority="1556" stopIfTrue="1" operator="containsText" text="SIN RIESGO">
      <formula>NOT(ISERROR(SEARCH("SIN RIESGO",S488)))</formula>
    </cfRule>
  </conditionalFormatting>
  <conditionalFormatting sqref="S488">
    <cfRule type="containsText" dxfId="1438" priority="1551" stopIfTrue="1" operator="containsText" text="SIN RIESGO">
      <formula>NOT(ISERROR(SEARCH("SIN RIESGO",S488)))</formula>
    </cfRule>
  </conditionalFormatting>
  <conditionalFormatting sqref="S488">
    <cfRule type="cellIs" dxfId="1437" priority="1550" stopIfTrue="1" operator="equal">
      <formula>"INVIABLE SANITARIAMENTE"</formula>
    </cfRule>
  </conditionalFormatting>
  <conditionalFormatting sqref="S488">
    <cfRule type="containsText" dxfId="1436" priority="1545" stopIfTrue="1" operator="containsText" text="INVIABLE SANITARIAMENTE">
      <formula>NOT(ISERROR(SEARCH("INVIABLE SANITARIAMENTE",S488)))</formula>
    </cfRule>
    <cfRule type="containsText" dxfId="1435" priority="1546" stopIfTrue="1" operator="containsText" text="ALTO">
      <formula>NOT(ISERROR(SEARCH("ALTO",S488)))</formula>
    </cfRule>
    <cfRule type="containsText" dxfId="1434" priority="1547" stopIfTrue="1" operator="containsText" text="MEDIO">
      <formula>NOT(ISERROR(SEARCH("MEDIO",S488)))</formula>
    </cfRule>
    <cfRule type="containsText" dxfId="1433" priority="1548" stopIfTrue="1" operator="containsText" text="BAJO">
      <formula>NOT(ISERROR(SEARCH("BAJO",S488)))</formula>
    </cfRule>
    <cfRule type="containsText" dxfId="1432" priority="1549" stopIfTrue="1" operator="containsText" text="SIN RIESGO">
      <formula>NOT(ISERROR(SEARCH("SIN RIESGO",S488)))</formula>
    </cfRule>
  </conditionalFormatting>
  <conditionalFormatting sqref="S488">
    <cfRule type="containsText" dxfId="1431" priority="1544" stopIfTrue="1" operator="containsText" text="SIN RIESGO">
      <formula>NOT(ISERROR(SEARCH("SIN RIESGO",S488)))</formula>
    </cfRule>
  </conditionalFormatting>
  <conditionalFormatting sqref="S488">
    <cfRule type="cellIs" dxfId="1430" priority="1543" stopIfTrue="1" operator="equal">
      <formula>"INVIABLE SANITARIAMENTE"</formula>
    </cfRule>
  </conditionalFormatting>
  <conditionalFormatting sqref="S488">
    <cfRule type="containsText" dxfId="1429" priority="1538" stopIfTrue="1" operator="containsText" text="INVIABLE SANITARIAMENTE">
      <formula>NOT(ISERROR(SEARCH("INVIABLE SANITARIAMENTE",S488)))</formula>
    </cfRule>
    <cfRule type="containsText" dxfId="1428" priority="1539" stopIfTrue="1" operator="containsText" text="ALTO">
      <formula>NOT(ISERROR(SEARCH("ALTO",S488)))</formula>
    </cfRule>
    <cfRule type="containsText" dxfId="1427" priority="1540" stopIfTrue="1" operator="containsText" text="MEDIO">
      <formula>NOT(ISERROR(SEARCH("MEDIO",S488)))</formula>
    </cfRule>
    <cfRule type="containsText" dxfId="1426" priority="1541" stopIfTrue="1" operator="containsText" text="BAJO">
      <formula>NOT(ISERROR(SEARCH("BAJO",S488)))</formula>
    </cfRule>
    <cfRule type="containsText" dxfId="1425" priority="1542" stopIfTrue="1" operator="containsText" text="SIN RIESGO">
      <formula>NOT(ISERROR(SEARCH("SIN RIESGO",S488)))</formula>
    </cfRule>
  </conditionalFormatting>
  <conditionalFormatting sqref="S488">
    <cfRule type="containsText" dxfId="1424" priority="1537" stopIfTrue="1" operator="containsText" text="SIN RIESGO">
      <formula>NOT(ISERROR(SEARCH("SIN RIESGO",S488)))</formula>
    </cfRule>
  </conditionalFormatting>
  <conditionalFormatting sqref="S533">
    <cfRule type="cellIs" dxfId="1423" priority="1508" stopIfTrue="1" operator="equal">
      <formula>"INVIABLE SANITARIAMENTE"</formula>
    </cfRule>
  </conditionalFormatting>
  <conditionalFormatting sqref="Q533">
    <cfRule type="containsBlanks" dxfId="1422" priority="1501" stopIfTrue="1">
      <formula>LEN(TRIM(Q533))=0</formula>
    </cfRule>
    <cfRule type="cellIs" dxfId="1421" priority="1502" stopIfTrue="1" operator="between">
      <formula>80.1</formula>
      <formula>100</formula>
    </cfRule>
    <cfRule type="cellIs" dxfId="1420" priority="1503" stopIfTrue="1" operator="between">
      <formula>35.1</formula>
      <formula>80</formula>
    </cfRule>
    <cfRule type="cellIs" dxfId="1419" priority="1504" stopIfTrue="1" operator="between">
      <formula>14.1</formula>
      <formula>35</formula>
    </cfRule>
    <cfRule type="cellIs" dxfId="1418" priority="1505" stopIfTrue="1" operator="between">
      <formula>5.1</formula>
      <formula>14</formula>
    </cfRule>
    <cfRule type="cellIs" dxfId="1417" priority="1506" stopIfTrue="1" operator="between">
      <formula>0</formula>
      <formula>5</formula>
    </cfRule>
    <cfRule type="containsBlanks" dxfId="1416" priority="1507" stopIfTrue="1">
      <formula>LEN(TRIM(Q533))=0</formula>
    </cfRule>
  </conditionalFormatting>
  <conditionalFormatting sqref="S533">
    <cfRule type="containsText" dxfId="1415" priority="1496" stopIfTrue="1" operator="containsText" text="INVIABLE SANITARIAMENTE">
      <formula>NOT(ISERROR(SEARCH("INVIABLE SANITARIAMENTE",S533)))</formula>
    </cfRule>
    <cfRule type="containsText" dxfId="1414" priority="1497" stopIfTrue="1" operator="containsText" text="ALTO">
      <formula>NOT(ISERROR(SEARCH("ALTO",S533)))</formula>
    </cfRule>
    <cfRule type="containsText" dxfId="1413" priority="1498" stopIfTrue="1" operator="containsText" text="MEDIO">
      <formula>NOT(ISERROR(SEARCH("MEDIO",S533)))</formula>
    </cfRule>
    <cfRule type="containsText" dxfId="1412" priority="1499" stopIfTrue="1" operator="containsText" text="BAJO">
      <formula>NOT(ISERROR(SEARCH("BAJO",S533)))</formula>
    </cfRule>
    <cfRule type="containsText" dxfId="1411" priority="1500" stopIfTrue="1" operator="containsText" text="SIN RIESGO">
      <formula>NOT(ISERROR(SEARCH("SIN RIESGO",S533)))</formula>
    </cfRule>
  </conditionalFormatting>
  <conditionalFormatting sqref="S533">
    <cfRule type="containsText" dxfId="1410" priority="1495" stopIfTrue="1" operator="containsText" text="SIN RIESGO">
      <formula>NOT(ISERROR(SEARCH("SIN RIESGO",S533)))</formula>
    </cfRule>
  </conditionalFormatting>
  <conditionalFormatting sqref="S533">
    <cfRule type="cellIs" dxfId="1409" priority="1494" stopIfTrue="1" operator="equal">
      <formula>"INVIABLE SANITARIAMENTE"</formula>
    </cfRule>
  </conditionalFormatting>
  <conditionalFormatting sqref="S533">
    <cfRule type="containsText" dxfId="1408" priority="1489" stopIfTrue="1" operator="containsText" text="INVIABLE SANITARIAMENTE">
      <formula>NOT(ISERROR(SEARCH("INVIABLE SANITARIAMENTE",S533)))</formula>
    </cfRule>
    <cfRule type="containsText" dxfId="1407" priority="1490" stopIfTrue="1" operator="containsText" text="ALTO">
      <formula>NOT(ISERROR(SEARCH("ALTO",S533)))</formula>
    </cfRule>
    <cfRule type="containsText" dxfId="1406" priority="1491" stopIfTrue="1" operator="containsText" text="MEDIO">
      <formula>NOT(ISERROR(SEARCH("MEDIO",S533)))</formula>
    </cfRule>
    <cfRule type="containsText" dxfId="1405" priority="1492" stopIfTrue="1" operator="containsText" text="BAJO">
      <formula>NOT(ISERROR(SEARCH("BAJO",S533)))</formula>
    </cfRule>
    <cfRule type="containsText" dxfId="1404" priority="1493" stopIfTrue="1" operator="containsText" text="SIN RIESGO">
      <formula>NOT(ISERROR(SEARCH("SIN RIESGO",S533)))</formula>
    </cfRule>
  </conditionalFormatting>
  <conditionalFormatting sqref="S533">
    <cfRule type="containsText" dxfId="1403" priority="1488" stopIfTrue="1" operator="containsText" text="SIN RIESGO">
      <formula>NOT(ISERROR(SEARCH("SIN RIESGO",S533)))</formula>
    </cfRule>
  </conditionalFormatting>
  <conditionalFormatting sqref="S533">
    <cfRule type="cellIs" dxfId="1402" priority="1487" stopIfTrue="1" operator="equal">
      <formula>"INVIABLE SANITARIAMENTE"</formula>
    </cfRule>
  </conditionalFormatting>
  <conditionalFormatting sqref="S533">
    <cfRule type="containsText" dxfId="1401" priority="1482" stopIfTrue="1" operator="containsText" text="INVIABLE SANITARIAMENTE">
      <formula>NOT(ISERROR(SEARCH("INVIABLE SANITARIAMENTE",S533)))</formula>
    </cfRule>
    <cfRule type="containsText" dxfId="1400" priority="1483" stopIfTrue="1" operator="containsText" text="ALTO">
      <formula>NOT(ISERROR(SEARCH("ALTO",S533)))</formula>
    </cfRule>
    <cfRule type="containsText" dxfId="1399" priority="1484" stopIfTrue="1" operator="containsText" text="MEDIO">
      <formula>NOT(ISERROR(SEARCH("MEDIO",S533)))</formula>
    </cfRule>
    <cfRule type="containsText" dxfId="1398" priority="1485" stopIfTrue="1" operator="containsText" text="BAJO">
      <formula>NOT(ISERROR(SEARCH("BAJO",S533)))</formula>
    </cfRule>
    <cfRule type="containsText" dxfId="1397" priority="1486" stopIfTrue="1" operator="containsText" text="SIN RIESGO">
      <formula>NOT(ISERROR(SEARCH("SIN RIESGO",S533)))</formula>
    </cfRule>
  </conditionalFormatting>
  <conditionalFormatting sqref="S533">
    <cfRule type="containsText" dxfId="1396" priority="1481" stopIfTrue="1" operator="containsText" text="SIN RIESGO">
      <formula>NOT(ISERROR(SEARCH("SIN RIESGO",S533)))</formula>
    </cfRule>
  </conditionalFormatting>
  <conditionalFormatting sqref="S534">
    <cfRule type="cellIs" dxfId="1395" priority="1480" stopIfTrue="1" operator="equal">
      <formula>"INVIABLE SANITARIAMENTE"</formula>
    </cfRule>
  </conditionalFormatting>
  <conditionalFormatting sqref="Q534">
    <cfRule type="containsBlanks" dxfId="1394" priority="1473" stopIfTrue="1">
      <formula>LEN(TRIM(Q534))=0</formula>
    </cfRule>
    <cfRule type="cellIs" dxfId="1393" priority="1474" stopIfTrue="1" operator="between">
      <formula>80.1</formula>
      <formula>100</formula>
    </cfRule>
    <cfRule type="cellIs" dxfId="1392" priority="1475" stopIfTrue="1" operator="between">
      <formula>35.1</formula>
      <formula>80</formula>
    </cfRule>
    <cfRule type="cellIs" dxfId="1391" priority="1476" stopIfTrue="1" operator="between">
      <formula>14.1</formula>
      <formula>35</formula>
    </cfRule>
    <cfRule type="cellIs" dxfId="1390" priority="1477" stopIfTrue="1" operator="between">
      <formula>5.1</formula>
      <formula>14</formula>
    </cfRule>
    <cfRule type="cellIs" dxfId="1389" priority="1478" stopIfTrue="1" operator="between">
      <formula>0</formula>
      <formula>5</formula>
    </cfRule>
    <cfRule type="containsBlanks" dxfId="1388" priority="1479" stopIfTrue="1">
      <formula>LEN(TRIM(Q534))=0</formula>
    </cfRule>
  </conditionalFormatting>
  <conditionalFormatting sqref="S534">
    <cfRule type="containsText" dxfId="1387" priority="1468" stopIfTrue="1" operator="containsText" text="INVIABLE SANITARIAMENTE">
      <formula>NOT(ISERROR(SEARCH("INVIABLE SANITARIAMENTE",S534)))</formula>
    </cfRule>
    <cfRule type="containsText" dxfId="1386" priority="1469" stopIfTrue="1" operator="containsText" text="ALTO">
      <formula>NOT(ISERROR(SEARCH("ALTO",S534)))</formula>
    </cfRule>
    <cfRule type="containsText" dxfId="1385" priority="1470" stopIfTrue="1" operator="containsText" text="MEDIO">
      <formula>NOT(ISERROR(SEARCH("MEDIO",S534)))</formula>
    </cfRule>
    <cfRule type="containsText" dxfId="1384" priority="1471" stopIfTrue="1" operator="containsText" text="BAJO">
      <formula>NOT(ISERROR(SEARCH("BAJO",S534)))</formula>
    </cfRule>
    <cfRule type="containsText" dxfId="1383" priority="1472" stopIfTrue="1" operator="containsText" text="SIN RIESGO">
      <formula>NOT(ISERROR(SEARCH("SIN RIESGO",S534)))</formula>
    </cfRule>
  </conditionalFormatting>
  <conditionalFormatting sqref="S534">
    <cfRule type="containsText" dxfId="1382" priority="1467" stopIfTrue="1" operator="containsText" text="SIN RIESGO">
      <formula>NOT(ISERROR(SEARCH("SIN RIESGO",S534)))</formula>
    </cfRule>
  </conditionalFormatting>
  <conditionalFormatting sqref="S534">
    <cfRule type="cellIs" dxfId="1381" priority="1466" stopIfTrue="1" operator="equal">
      <formula>"INVIABLE SANITARIAMENTE"</formula>
    </cfRule>
  </conditionalFormatting>
  <conditionalFormatting sqref="S534">
    <cfRule type="containsText" dxfId="1380" priority="1461" stopIfTrue="1" operator="containsText" text="INVIABLE SANITARIAMENTE">
      <formula>NOT(ISERROR(SEARCH("INVIABLE SANITARIAMENTE",S534)))</formula>
    </cfRule>
    <cfRule type="containsText" dxfId="1379" priority="1462" stopIfTrue="1" operator="containsText" text="ALTO">
      <formula>NOT(ISERROR(SEARCH("ALTO",S534)))</formula>
    </cfRule>
    <cfRule type="containsText" dxfId="1378" priority="1463" stopIfTrue="1" operator="containsText" text="MEDIO">
      <formula>NOT(ISERROR(SEARCH("MEDIO",S534)))</formula>
    </cfRule>
    <cfRule type="containsText" dxfId="1377" priority="1464" stopIfTrue="1" operator="containsText" text="BAJO">
      <formula>NOT(ISERROR(SEARCH("BAJO",S534)))</formula>
    </cfRule>
    <cfRule type="containsText" dxfId="1376" priority="1465" stopIfTrue="1" operator="containsText" text="SIN RIESGO">
      <formula>NOT(ISERROR(SEARCH("SIN RIESGO",S534)))</formula>
    </cfRule>
  </conditionalFormatting>
  <conditionalFormatting sqref="S534">
    <cfRule type="containsText" dxfId="1375" priority="1460" stopIfTrue="1" operator="containsText" text="SIN RIESGO">
      <formula>NOT(ISERROR(SEARCH("SIN RIESGO",S534)))</formula>
    </cfRule>
  </conditionalFormatting>
  <conditionalFormatting sqref="S534">
    <cfRule type="cellIs" dxfId="1374" priority="1459" stopIfTrue="1" operator="equal">
      <formula>"INVIABLE SANITARIAMENTE"</formula>
    </cfRule>
  </conditionalFormatting>
  <conditionalFormatting sqref="S534">
    <cfRule type="containsText" dxfId="1373" priority="1454" stopIfTrue="1" operator="containsText" text="INVIABLE SANITARIAMENTE">
      <formula>NOT(ISERROR(SEARCH("INVIABLE SANITARIAMENTE",S534)))</formula>
    </cfRule>
    <cfRule type="containsText" dxfId="1372" priority="1455" stopIfTrue="1" operator="containsText" text="ALTO">
      <formula>NOT(ISERROR(SEARCH("ALTO",S534)))</formula>
    </cfRule>
    <cfRule type="containsText" dxfId="1371" priority="1456" stopIfTrue="1" operator="containsText" text="MEDIO">
      <formula>NOT(ISERROR(SEARCH("MEDIO",S534)))</formula>
    </cfRule>
    <cfRule type="containsText" dxfId="1370" priority="1457" stopIfTrue="1" operator="containsText" text="BAJO">
      <formula>NOT(ISERROR(SEARCH("BAJO",S534)))</formula>
    </cfRule>
    <cfRule type="containsText" dxfId="1369" priority="1458" stopIfTrue="1" operator="containsText" text="SIN RIESGO">
      <formula>NOT(ISERROR(SEARCH("SIN RIESGO",S534)))</formula>
    </cfRule>
  </conditionalFormatting>
  <conditionalFormatting sqref="S534">
    <cfRule type="containsText" dxfId="1368" priority="1453" stopIfTrue="1" operator="containsText" text="SIN RIESGO">
      <formula>NOT(ISERROR(SEARCH("SIN RIESGO",S534)))</formula>
    </cfRule>
  </conditionalFormatting>
  <conditionalFormatting sqref="Q66">
    <cfRule type="containsBlanks" dxfId="1367" priority="1446" stopIfTrue="1">
      <formula>LEN(TRIM(Q66))=0</formula>
    </cfRule>
    <cfRule type="cellIs" dxfId="1366" priority="1447" stopIfTrue="1" operator="between">
      <formula>80.1</formula>
      <formula>100</formula>
    </cfRule>
    <cfRule type="cellIs" dxfId="1365" priority="1448" stopIfTrue="1" operator="between">
      <formula>35.1</formula>
      <formula>80</formula>
    </cfRule>
    <cfRule type="cellIs" dxfId="1364" priority="1449" stopIfTrue="1" operator="between">
      <formula>14.1</formula>
      <formula>35</formula>
    </cfRule>
    <cfRule type="cellIs" dxfId="1363" priority="1450" stopIfTrue="1" operator="between">
      <formula>5.1</formula>
      <formula>14</formula>
    </cfRule>
    <cfRule type="cellIs" dxfId="1362" priority="1451" stopIfTrue="1" operator="between">
      <formula>0</formula>
      <formula>5</formula>
    </cfRule>
    <cfRule type="containsBlanks" dxfId="1361" priority="1452" stopIfTrue="1">
      <formula>LEN(TRIM(Q66))=0</formula>
    </cfRule>
  </conditionalFormatting>
  <conditionalFormatting sqref="S66">
    <cfRule type="cellIs" dxfId="1360" priority="1445" stopIfTrue="1" operator="equal">
      <formula>"INVIABLE SANITARIAMENTE"</formula>
    </cfRule>
  </conditionalFormatting>
  <conditionalFormatting sqref="S66">
    <cfRule type="containsText" dxfId="1359" priority="1440" stopIfTrue="1" operator="containsText" text="INVIABLE SANITARIAMENTE">
      <formula>NOT(ISERROR(SEARCH("INVIABLE SANITARIAMENTE",S66)))</formula>
    </cfRule>
    <cfRule type="containsText" dxfId="1358" priority="1441" stopIfTrue="1" operator="containsText" text="ALTO">
      <formula>NOT(ISERROR(SEARCH("ALTO",S66)))</formula>
    </cfRule>
    <cfRule type="containsText" dxfId="1357" priority="1442" stopIfTrue="1" operator="containsText" text="MEDIO">
      <formula>NOT(ISERROR(SEARCH("MEDIO",S66)))</formula>
    </cfRule>
    <cfRule type="containsText" dxfId="1356" priority="1443" stopIfTrue="1" operator="containsText" text="BAJO">
      <formula>NOT(ISERROR(SEARCH("BAJO",S66)))</formula>
    </cfRule>
    <cfRule type="containsText" dxfId="1355" priority="1444" stopIfTrue="1" operator="containsText" text="SIN RIESGO">
      <formula>NOT(ISERROR(SEARCH("SIN RIESGO",S66)))</formula>
    </cfRule>
  </conditionalFormatting>
  <conditionalFormatting sqref="S66">
    <cfRule type="containsText" dxfId="1354" priority="1439" stopIfTrue="1" operator="containsText" text="SIN RIESGO">
      <formula>NOT(ISERROR(SEARCH("SIN RIESGO",S66)))</formula>
    </cfRule>
  </conditionalFormatting>
  <conditionalFormatting sqref="R66">
    <cfRule type="cellIs" dxfId="1353" priority="1438" stopIfTrue="1" operator="equal">
      <formula>"NO"</formula>
    </cfRule>
  </conditionalFormatting>
  <conditionalFormatting sqref="S66">
    <cfRule type="cellIs" dxfId="1352" priority="1437" stopIfTrue="1" operator="equal">
      <formula>"INVIABLE SANITARIAMENTE"</formula>
    </cfRule>
  </conditionalFormatting>
  <conditionalFormatting sqref="Q66">
    <cfRule type="containsBlanks" dxfId="1351" priority="1430" stopIfTrue="1">
      <formula>LEN(TRIM(Q66))=0</formula>
    </cfRule>
    <cfRule type="cellIs" dxfId="1350" priority="1431" stopIfTrue="1" operator="between">
      <formula>80.1</formula>
      <formula>100</formula>
    </cfRule>
    <cfRule type="cellIs" dxfId="1349" priority="1432" stopIfTrue="1" operator="between">
      <formula>35.1</formula>
      <formula>80</formula>
    </cfRule>
    <cfRule type="cellIs" dxfId="1348" priority="1433" stopIfTrue="1" operator="between">
      <formula>14.1</formula>
      <formula>35</formula>
    </cfRule>
    <cfRule type="cellIs" dxfId="1347" priority="1434" stopIfTrue="1" operator="between">
      <formula>5.1</formula>
      <formula>14</formula>
    </cfRule>
    <cfRule type="cellIs" dxfId="1346" priority="1435" stopIfTrue="1" operator="between">
      <formula>0</formula>
      <formula>5</formula>
    </cfRule>
    <cfRule type="containsBlanks" dxfId="1345" priority="1436" stopIfTrue="1">
      <formula>LEN(TRIM(Q66))=0</formula>
    </cfRule>
  </conditionalFormatting>
  <conditionalFormatting sqref="S66">
    <cfRule type="containsText" dxfId="1344" priority="1425" stopIfTrue="1" operator="containsText" text="INVIABLE SANITARIAMENTE">
      <formula>NOT(ISERROR(SEARCH("INVIABLE SANITARIAMENTE",S66)))</formula>
    </cfRule>
    <cfRule type="containsText" dxfId="1343" priority="1426" stopIfTrue="1" operator="containsText" text="ALTO">
      <formula>NOT(ISERROR(SEARCH("ALTO",S66)))</formula>
    </cfRule>
    <cfRule type="containsText" dxfId="1342" priority="1427" stopIfTrue="1" operator="containsText" text="MEDIO">
      <formula>NOT(ISERROR(SEARCH("MEDIO",S66)))</formula>
    </cfRule>
    <cfRule type="containsText" dxfId="1341" priority="1428" stopIfTrue="1" operator="containsText" text="BAJO">
      <formula>NOT(ISERROR(SEARCH("BAJO",S66)))</formula>
    </cfRule>
    <cfRule type="containsText" dxfId="1340" priority="1429" stopIfTrue="1" operator="containsText" text="SIN RIESGO">
      <formula>NOT(ISERROR(SEARCH("SIN RIESGO",S66)))</formula>
    </cfRule>
  </conditionalFormatting>
  <conditionalFormatting sqref="S66">
    <cfRule type="containsText" dxfId="1339" priority="1424" stopIfTrue="1" operator="containsText" text="SIN RIESGO">
      <formula>NOT(ISERROR(SEARCH("SIN RIESGO",S66)))</formula>
    </cfRule>
  </conditionalFormatting>
  <conditionalFormatting sqref="Q67">
    <cfRule type="containsBlanks" dxfId="1338" priority="1417" stopIfTrue="1">
      <formula>LEN(TRIM(Q67))=0</formula>
    </cfRule>
    <cfRule type="cellIs" dxfId="1337" priority="1418" stopIfTrue="1" operator="between">
      <formula>80.1</formula>
      <formula>100</formula>
    </cfRule>
    <cfRule type="cellIs" dxfId="1336" priority="1419" stopIfTrue="1" operator="between">
      <formula>35.1</formula>
      <formula>80</formula>
    </cfRule>
    <cfRule type="cellIs" dxfId="1335" priority="1420" stopIfTrue="1" operator="between">
      <formula>14.1</formula>
      <formula>35</formula>
    </cfRule>
    <cfRule type="cellIs" dxfId="1334" priority="1421" stopIfTrue="1" operator="between">
      <formula>5.1</formula>
      <formula>14</formula>
    </cfRule>
    <cfRule type="cellIs" dxfId="1333" priority="1422" stopIfTrue="1" operator="between">
      <formula>0</formula>
      <formula>5</formula>
    </cfRule>
    <cfRule type="containsBlanks" dxfId="1332" priority="1423" stopIfTrue="1">
      <formula>LEN(TRIM(Q67))=0</formula>
    </cfRule>
  </conditionalFormatting>
  <conditionalFormatting sqref="S67">
    <cfRule type="cellIs" dxfId="1331" priority="1416" stopIfTrue="1" operator="equal">
      <formula>"INVIABLE SANITARIAMENTE"</formula>
    </cfRule>
  </conditionalFormatting>
  <conditionalFormatting sqref="S67">
    <cfRule type="containsText" dxfId="1330" priority="1411" stopIfTrue="1" operator="containsText" text="INVIABLE SANITARIAMENTE">
      <formula>NOT(ISERROR(SEARCH("INVIABLE SANITARIAMENTE",S67)))</formula>
    </cfRule>
    <cfRule type="containsText" dxfId="1329" priority="1412" stopIfTrue="1" operator="containsText" text="ALTO">
      <formula>NOT(ISERROR(SEARCH("ALTO",S67)))</formula>
    </cfRule>
    <cfRule type="containsText" dxfId="1328" priority="1413" stopIfTrue="1" operator="containsText" text="MEDIO">
      <formula>NOT(ISERROR(SEARCH("MEDIO",S67)))</formula>
    </cfRule>
    <cfRule type="containsText" dxfId="1327" priority="1414" stopIfTrue="1" operator="containsText" text="BAJO">
      <formula>NOT(ISERROR(SEARCH("BAJO",S67)))</formula>
    </cfRule>
    <cfRule type="containsText" dxfId="1326" priority="1415" stopIfTrue="1" operator="containsText" text="SIN RIESGO">
      <formula>NOT(ISERROR(SEARCH("SIN RIESGO",S67)))</formula>
    </cfRule>
  </conditionalFormatting>
  <conditionalFormatting sqref="S67">
    <cfRule type="containsText" dxfId="1325" priority="1410" stopIfTrue="1" operator="containsText" text="SIN RIESGO">
      <formula>NOT(ISERROR(SEARCH("SIN RIESGO",S67)))</formula>
    </cfRule>
  </conditionalFormatting>
  <conditionalFormatting sqref="R67">
    <cfRule type="cellIs" dxfId="1324" priority="1409" stopIfTrue="1" operator="equal">
      <formula>"NO"</formula>
    </cfRule>
  </conditionalFormatting>
  <conditionalFormatting sqref="S67">
    <cfRule type="cellIs" dxfId="1323" priority="1408" stopIfTrue="1" operator="equal">
      <formula>"INVIABLE SANITARIAMENTE"</formula>
    </cfRule>
  </conditionalFormatting>
  <conditionalFormatting sqref="Q67">
    <cfRule type="containsBlanks" dxfId="1322" priority="1401" stopIfTrue="1">
      <formula>LEN(TRIM(Q67))=0</formula>
    </cfRule>
    <cfRule type="cellIs" dxfId="1321" priority="1402" stopIfTrue="1" operator="between">
      <formula>80.1</formula>
      <formula>100</formula>
    </cfRule>
    <cfRule type="cellIs" dxfId="1320" priority="1403" stopIfTrue="1" operator="between">
      <formula>35.1</formula>
      <formula>80</formula>
    </cfRule>
    <cfRule type="cellIs" dxfId="1319" priority="1404" stopIfTrue="1" operator="between">
      <formula>14.1</formula>
      <formula>35</formula>
    </cfRule>
    <cfRule type="cellIs" dxfId="1318" priority="1405" stopIfTrue="1" operator="between">
      <formula>5.1</formula>
      <formula>14</formula>
    </cfRule>
    <cfRule type="cellIs" dxfId="1317" priority="1406" stopIfTrue="1" operator="between">
      <formula>0</formula>
      <formula>5</formula>
    </cfRule>
    <cfRule type="containsBlanks" dxfId="1316" priority="1407" stopIfTrue="1">
      <formula>LEN(TRIM(Q67))=0</formula>
    </cfRule>
  </conditionalFormatting>
  <conditionalFormatting sqref="S67">
    <cfRule type="containsText" dxfId="1315" priority="1396" stopIfTrue="1" operator="containsText" text="INVIABLE SANITARIAMENTE">
      <formula>NOT(ISERROR(SEARCH("INVIABLE SANITARIAMENTE",S67)))</formula>
    </cfRule>
    <cfRule type="containsText" dxfId="1314" priority="1397" stopIfTrue="1" operator="containsText" text="ALTO">
      <formula>NOT(ISERROR(SEARCH("ALTO",S67)))</formula>
    </cfRule>
    <cfRule type="containsText" dxfId="1313" priority="1398" stopIfTrue="1" operator="containsText" text="MEDIO">
      <formula>NOT(ISERROR(SEARCH("MEDIO",S67)))</formula>
    </cfRule>
    <cfRule type="containsText" dxfId="1312" priority="1399" stopIfTrue="1" operator="containsText" text="BAJO">
      <formula>NOT(ISERROR(SEARCH("BAJO",S67)))</formula>
    </cfRule>
    <cfRule type="containsText" dxfId="1311" priority="1400" stopIfTrue="1" operator="containsText" text="SIN RIESGO">
      <formula>NOT(ISERROR(SEARCH("SIN RIESGO",S67)))</formula>
    </cfRule>
  </conditionalFormatting>
  <conditionalFormatting sqref="S67">
    <cfRule type="containsText" dxfId="1310" priority="1395" stopIfTrue="1" operator="containsText" text="SIN RIESGO">
      <formula>NOT(ISERROR(SEARCH("SIN RIESGO",S67)))</formula>
    </cfRule>
  </conditionalFormatting>
  <conditionalFormatting sqref="Q68">
    <cfRule type="containsBlanks" dxfId="1309" priority="1388" stopIfTrue="1">
      <formula>LEN(TRIM(Q68))=0</formula>
    </cfRule>
    <cfRule type="cellIs" dxfId="1308" priority="1389" stopIfTrue="1" operator="between">
      <formula>80.1</formula>
      <formula>100</formula>
    </cfRule>
    <cfRule type="cellIs" dxfId="1307" priority="1390" stopIfTrue="1" operator="between">
      <formula>35.1</formula>
      <formula>80</formula>
    </cfRule>
    <cfRule type="cellIs" dxfId="1306" priority="1391" stopIfTrue="1" operator="between">
      <formula>14.1</formula>
      <formula>35</formula>
    </cfRule>
    <cfRule type="cellIs" dxfId="1305" priority="1392" stopIfTrue="1" operator="between">
      <formula>5.1</formula>
      <formula>14</formula>
    </cfRule>
    <cfRule type="cellIs" dxfId="1304" priority="1393" stopIfTrue="1" operator="between">
      <formula>0</formula>
      <formula>5</formula>
    </cfRule>
    <cfRule type="containsBlanks" dxfId="1303" priority="1394" stopIfTrue="1">
      <formula>LEN(TRIM(Q68))=0</formula>
    </cfRule>
  </conditionalFormatting>
  <conditionalFormatting sqref="S68">
    <cfRule type="cellIs" dxfId="1302" priority="1387" stopIfTrue="1" operator="equal">
      <formula>"INVIABLE SANITARIAMENTE"</formula>
    </cfRule>
  </conditionalFormatting>
  <conditionalFormatting sqref="S68">
    <cfRule type="containsText" dxfId="1301" priority="1382" stopIfTrue="1" operator="containsText" text="INVIABLE SANITARIAMENTE">
      <formula>NOT(ISERROR(SEARCH("INVIABLE SANITARIAMENTE",S68)))</formula>
    </cfRule>
    <cfRule type="containsText" dxfId="1300" priority="1383" stopIfTrue="1" operator="containsText" text="ALTO">
      <formula>NOT(ISERROR(SEARCH("ALTO",S68)))</formula>
    </cfRule>
    <cfRule type="containsText" dxfId="1299" priority="1384" stopIfTrue="1" operator="containsText" text="MEDIO">
      <formula>NOT(ISERROR(SEARCH("MEDIO",S68)))</formula>
    </cfRule>
    <cfRule type="containsText" dxfId="1298" priority="1385" stopIfTrue="1" operator="containsText" text="BAJO">
      <formula>NOT(ISERROR(SEARCH("BAJO",S68)))</formula>
    </cfRule>
    <cfRule type="containsText" dxfId="1297" priority="1386" stopIfTrue="1" operator="containsText" text="SIN RIESGO">
      <formula>NOT(ISERROR(SEARCH("SIN RIESGO",S68)))</formula>
    </cfRule>
  </conditionalFormatting>
  <conditionalFormatting sqref="S68">
    <cfRule type="containsText" dxfId="1296" priority="1381" stopIfTrue="1" operator="containsText" text="SIN RIESGO">
      <formula>NOT(ISERROR(SEARCH("SIN RIESGO",S68)))</formula>
    </cfRule>
  </conditionalFormatting>
  <conditionalFormatting sqref="R68">
    <cfRule type="cellIs" dxfId="1295" priority="1380" stopIfTrue="1" operator="equal">
      <formula>"NO"</formula>
    </cfRule>
  </conditionalFormatting>
  <conditionalFormatting sqref="S68">
    <cfRule type="cellIs" dxfId="1294" priority="1379" stopIfTrue="1" operator="equal">
      <formula>"INVIABLE SANITARIAMENTE"</formula>
    </cfRule>
  </conditionalFormatting>
  <conditionalFormatting sqref="Q68">
    <cfRule type="containsBlanks" dxfId="1293" priority="1372" stopIfTrue="1">
      <formula>LEN(TRIM(Q68))=0</formula>
    </cfRule>
    <cfRule type="cellIs" dxfId="1292" priority="1373" stopIfTrue="1" operator="between">
      <formula>80.1</formula>
      <formula>100</formula>
    </cfRule>
    <cfRule type="cellIs" dxfId="1291" priority="1374" stopIfTrue="1" operator="between">
      <formula>35.1</formula>
      <formula>80</formula>
    </cfRule>
    <cfRule type="cellIs" dxfId="1290" priority="1375" stopIfTrue="1" operator="between">
      <formula>14.1</formula>
      <formula>35</formula>
    </cfRule>
    <cfRule type="cellIs" dxfId="1289" priority="1376" stopIfTrue="1" operator="between">
      <formula>5.1</formula>
      <formula>14</formula>
    </cfRule>
    <cfRule type="cellIs" dxfId="1288" priority="1377" stopIfTrue="1" operator="between">
      <formula>0</formula>
      <formula>5</formula>
    </cfRule>
    <cfRule type="containsBlanks" dxfId="1287" priority="1378" stopIfTrue="1">
      <formula>LEN(TRIM(Q68))=0</formula>
    </cfRule>
  </conditionalFormatting>
  <conditionalFormatting sqref="S68">
    <cfRule type="containsText" dxfId="1286" priority="1367" stopIfTrue="1" operator="containsText" text="INVIABLE SANITARIAMENTE">
      <formula>NOT(ISERROR(SEARCH("INVIABLE SANITARIAMENTE",S68)))</formula>
    </cfRule>
    <cfRule type="containsText" dxfId="1285" priority="1368" stopIfTrue="1" operator="containsText" text="ALTO">
      <formula>NOT(ISERROR(SEARCH("ALTO",S68)))</formula>
    </cfRule>
    <cfRule type="containsText" dxfId="1284" priority="1369" stopIfTrue="1" operator="containsText" text="MEDIO">
      <formula>NOT(ISERROR(SEARCH("MEDIO",S68)))</formula>
    </cfRule>
    <cfRule type="containsText" dxfId="1283" priority="1370" stopIfTrue="1" operator="containsText" text="BAJO">
      <formula>NOT(ISERROR(SEARCH("BAJO",S68)))</formula>
    </cfRule>
    <cfRule type="containsText" dxfId="1282" priority="1371" stopIfTrue="1" operator="containsText" text="SIN RIESGO">
      <formula>NOT(ISERROR(SEARCH("SIN RIESGO",S68)))</formula>
    </cfRule>
  </conditionalFormatting>
  <conditionalFormatting sqref="S68">
    <cfRule type="containsText" dxfId="1281" priority="1366" stopIfTrue="1" operator="containsText" text="SIN RIESGO">
      <formula>NOT(ISERROR(SEARCH("SIN RIESGO",S68)))</formula>
    </cfRule>
  </conditionalFormatting>
  <conditionalFormatting sqref="Q106">
    <cfRule type="containsBlanks" dxfId="1280" priority="1359" stopIfTrue="1">
      <formula>LEN(TRIM(Q106))=0</formula>
    </cfRule>
    <cfRule type="cellIs" dxfId="1279" priority="1360" stopIfTrue="1" operator="between">
      <formula>80.1</formula>
      <formula>100</formula>
    </cfRule>
    <cfRule type="cellIs" dxfId="1278" priority="1361" stopIfTrue="1" operator="between">
      <formula>35.1</formula>
      <formula>80</formula>
    </cfRule>
    <cfRule type="cellIs" dxfId="1277" priority="1362" stopIfTrue="1" operator="between">
      <formula>14.1</formula>
      <formula>35</formula>
    </cfRule>
    <cfRule type="cellIs" dxfId="1276" priority="1363" stopIfTrue="1" operator="between">
      <formula>5.1</formula>
      <formula>14</formula>
    </cfRule>
    <cfRule type="cellIs" dxfId="1275" priority="1364" stopIfTrue="1" operator="between">
      <formula>0</formula>
      <formula>5</formula>
    </cfRule>
    <cfRule type="containsBlanks" dxfId="1274" priority="1365" stopIfTrue="1">
      <formula>LEN(TRIM(Q106))=0</formula>
    </cfRule>
  </conditionalFormatting>
  <conditionalFormatting sqref="H436:J436 E436:F436">
    <cfRule type="containsBlanks" dxfId="1273" priority="481" stopIfTrue="1">
      <formula>LEN(TRIM(E436))=0</formula>
    </cfRule>
    <cfRule type="cellIs" dxfId="1272" priority="482" stopIfTrue="1" operator="between">
      <formula>80.1</formula>
      <formula>100</formula>
    </cfRule>
    <cfRule type="cellIs" dxfId="1271" priority="483" stopIfTrue="1" operator="between">
      <formula>35.1</formula>
      <formula>80</formula>
    </cfRule>
    <cfRule type="cellIs" dxfId="1270" priority="484" stopIfTrue="1" operator="between">
      <formula>14.1</formula>
      <formula>35</formula>
    </cfRule>
    <cfRule type="cellIs" dxfId="1269" priority="485" stopIfTrue="1" operator="between">
      <formula>5.1</formula>
      <formula>14</formula>
    </cfRule>
    <cfRule type="cellIs" dxfId="1268" priority="486" stopIfTrue="1" operator="between">
      <formula>0</formula>
      <formula>5</formula>
    </cfRule>
    <cfRule type="containsBlanks" dxfId="1267" priority="487" stopIfTrue="1">
      <formula>LEN(TRIM(E436))=0</formula>
    </cfRule>
  </conditionalFormatting>
  <conditionalFormatting sqref="G436">
    <cfRule type="containsBlanks" dxfId="1266" priority="474" stopIfTrue="1">
      <formula>LEN(TRIM(G436))=0</formula>
    </cfRule>
    <cfRule type="cellIs" dxfId="1265" priority="475" stopIfTrue="1" operator="between">
      <formula>80.1</formula>
      <formula>100</formula>
    </cfRule>
    <cfRule type="cellIs" dxfId="1264" priority="476" stopIfTrue="1" operator="between">
      <formula>35.1</formula>
      <formula>80</formula>
    </cfRule>
    <cfRule type="cellIs" dxfId="1263" priority="477" stopIfTrue="1" operator="between">
      <formula>14.1</formula>
      <formula>35</formula>
    </cfRule>
    <cfRule type="cellIs" dxfId="1262" priority="478" stopIfTrue="1" operator="between">
      <formula>5.1</formula>
      <formula>14</formula>
    </cfRule>
    <cfRule type="cellIs" dxfId="1261" priority="479" stopIfTrue="1" operator="between">
      <formula>0</formula>
      <formula>5</formula>
    </cfRule>
    <cfRule type="containsBlanks" dxfId="1260" priority="480" stopIfTrue="1">
      <formula>LEN(TRIM(G436))=0</formula>
    </cfRule>
  </conditionalFormatting>
  <conditionalFormatting sqref="R106">
    <cfRule type="cellIs" dxfId="1259" priority="1337" stopIfTrue="1" operator="equal">
      <formula>"NO"</formula>
    </cfRule>
  </conditionalFormatting>
  <conditionalFormatting sqref="S106">
    <cfRule type="cellIs" dxfId="1258" priority="1336" stopIfTrue="1" operator="equal">
      <formula>"INVIABLE SANITARIAMENTE"</formula>
    </cfRule>
  </conditionalFormatting>
  <conditionalFormatting sqref="S106">
    <cfRule type="containsText" dxfId="1257" priority="1331" stopIfTrue="1" operator="containsText" text="INVIABLE SANITARIAMENTE">
      <formula>NOT(ISERROR(SEARCH("INVIABLE SANITARIAMENTE",S106)))</formula>
    </cfRule>
    <cfRule type="containsText" dxfId="1256" priority="1332" stopIfTrue="1" operator="containsText" text="ALTO">
      <formula>NOT(ISERROR(SEARCH("ALTO",S106)))</formula>
    </cfRule>
    <cfRule type="containsText" dxfId="1255" priority="1333" stopIfTrue="1" operator="containsText" text="MEDIO">
      <formula>NOT(ISERROR(SEARCH("MEDIO",S106)))</formula>
    </cfRule>
    <cfRule type="containsText" dxfId="1254" priority="1334" stopIfTrue="1" operator="containsText" text="BAJO">
      <formula>NOT(ISERROR(SEARCH("BAJO",S106)))</formula>
    </cfRule>
    <cfRule type="containsText" dxfId="1253" priority="1335" stopIfTrue="1" operator="containsText" text="SIN RIESGO">
      <formula>NOT(ISERROR(SEARCH("SIN RIESGO",S106)))</formula>
    </cfRule>
  </conditionalFormatting>
  <conditionalFormatting sqref="S106">
    <cfRule type="containsText" dxfId="1252" priority="1330" stopIfTrue="1" operator="containsText" text="SIN RIESGO">
      <formula>NOT(ISERROR(SEARCH("SIN RIESGO",S106)))</formula>
    </cfRule>
  </conditionalFormatting>
  <conditionalFormatting sqref="S106">
    <cfRule type="cellIs" dxfId="1251" priority="1329" stopIfTrue="1" operator="equal">
      <formula>"INVIABLE SANITARIAMENTE"</formula>
    </cfRule>
  </conditionalFormatting>
  <conditionalFormatting sqref="S106">
    <cfRule type="containsText" dxfId="1250" priority="1324" stopIfTrue="1" operator="containsText" text="INVIABLE SANITARIAMENTE">
      <formula>NOT(ISERROR(SEARCH("INVIABLE SANITARIAMENTE",S106)))</formula>
    </cfRule>
    <cfRule type="containsText" dxfId="1249" priority="1325" stopIfTrue="1" operator="containsText" text="ALTO">
      <formula>NOT(ISERROR(SEARCH("ALTO",S106)))</formula>
    </cfRule>
    <cfRule type="containsText" dxfId="1248" priority="1326" stopIfTrue="1" operator="containsText" text="MEDIO">
      <formula>NOT(ISERROR(SEARCH("MEDIO",S106)))</formula>
    </cfRule>
    <cfRule type="containsText" dxfId="1247" priority="1327" stopIfTrue="1" operator="containsText" text="BAJO">
      <formula>NOT(ISERROR(SEARCH("BAJO",S106)))</formula>
    </cfRule>
    <cfRule type="containsText" dxfId="1246" priority="1328" stopIfTrue="1" operator="containsText" text="SIN RIESGO">
      <formula>NOT(ISERROR(SEARCH("SIN RIESGO",S106)))</formula>
    </cfRule>
  </conditionalFormatting>
  <conditionalFormatting sqref="S106">
    <cfRule type="containsText" dxfId="1245" priority="1323" stopIfTrue="1" operator="containsText" text="SIN RIESGO">
      <formula>NOT(ISERROR(SEARCH("SIN RIESGO",S106)))</formula>
    </cfRule>
  </conditionalFormatting>
  <conditionalFormatting sqref="Q108">
    <cfRule type="containsBlanks" dxfId="1244" priority="1316" stopIfTrue="1">
      <formula>LEN(TRIM(Q108))=0</formula>
    </cfRule>
    <cfRule type="cellIs" dxfId="1243" priority="1317" stopIfTrue="1" operator="between">
      <formula>80.1</formula>
      <formula>100</formula>
    </cfRule>
    <cfRule type="cellIs" dxfId="1242" priority="1318" stopIfTrue="1" operator="between">
      <formula>35.1</formula>
      <formula>80</formula>
    </cfRule>
    <cfRule type="cellIs" dxfId="1241" priority="1319" stopIfTrue="1" operator="between">
      <formula>14.1</formula>
      <formula>35</formula>
    </cfRule>
    <cfRule type="cellIs" dxfId="1240" priority="1320" stopIfTrue="1" operator="between">
      <formula>5.1</formula>
      <formula>14</formula>
    </cfRule>
    <cfRule type="cellIs" dxfId="1239" priority="1321" stopIfTrue="1" operator="between">
      <formula>0</formula>
      <formula>5</formula>
    </cfRule>
    <cfRule type="containsBlanks" dxfId="1238" priority="1322" stopIfTrue="1">
      <formula>LEN(TRIM(Q108))=0</formula>
    </cfRule>
  </conditionalFormatting>
  <conditionalFormatting sqref="N108:O108 L108 J108">
    <cfRule type="containsBlanks" dxfId="1237" priority="1309" stopIfTrue="1">
      <formula>LEN(TRIM(J108))=0</formula>
    </cfRule>
    <cfRule type="cellIs" dxfId="1236" priority="1310" stopIfTrue="1" operator="between">
      <formula>80.1</formula>
      <formula>100</formula>
    </cfRule>
    <cfRule type="cellIs" dxfId="1235" priority="1311" stopIfTrue="1" operator="between">
      <formula>35.1</formula>
      <formula>80</formula>
    </cfRule>
    <cfRule type="cellIs" dxfId="1234" priority="1312" stopIfTrue="1" operator="between">
      <formula>14.1</formula>
      <formula>35</formula>
    </cfRule>
    <cfRule type="cellIs" dxfId="1233" priority="1313" stopIfTrue="1" operator="between">
      <formula>5.1</formula>
      <formula>14</formula>
    </cfRule>
    <cfRule type="cellIs" dxfId="1232" priority="1314" stopIfTrue="1" operator="between">
      <formula>0</formula>
      <formula>5</formula>
    </cfRule>
    <cfRule type="containsBlanks" dxfId="1231" priority="1315" stopIfTrue="1">
      <formula>LEN(TRIM(J108))=0</formula>
    </cfRule>
  </conditionalFormatting>
  <conditionalFormatting sqref="P108 M108 K108 G108:I108 E108">
    <cfRule type="containsBlanks" dxfId="1230" priority="1302" stopIfTrue="1">
      <formula>LEN(TRIM(E108))=0</formula>
    </cfRule>
    <cfRule type="cellIs" dxfId="1229" priority="1303" stopIfTrue="1" operator="between">
      <formula>80.1</formula>
      <formula>100</formula>
    </cfRule>
    <cfRule type="cellIs" dxfId="1228" priority="1304" stopIfTrue="1" operator="between">
      <formula>35.1</formula>
      <formula>80</formula>
    </cfRule>
    <cfRule type="cellIs" dxfId="1227" priority="1305" stopIfTrue="1" operator="between">
      <formula>14.1</formula>
      <formula>35</formula>
    </cfRule>
    <cfRule type="cellIs" dxfId="1226" priority="1306" stopIfTrue="1" operator="between">
      <formula>5.1</formula>
      <formula>14</formula>
    </cfRule>
    <cfRule type="cellIs" dxfId="1225" priority="1307" stopIfTrue="1" operator="between">
      <formula>0</formula>
      <formula>5</formula>
    </cfRule>
    <cfRule type="containsBlanks" dxfId="1224" priority="1308" stopIfTrue="1">
      <formula>LEN(TRIM(E108))=0</formula>
    </cfRule>
  </conditionalFormatting>
  <conditionalFormatting sqref="F108">
    <cfRule type="containsBlanks" dxfId="1223" priority="1295" stopIfTrue="1">
      <formula>LEN(TRIM(F108))=0</formula>
    </cfRule>
    <cfRule type="cellIs" dxfId="1222" priority="1296" stopIfTrue="1" operator="between">
      <formula>79.1</formula>
      <formula>100</formula>
    </cfRule>
    <cfRule type="cellIs" dxfId="1221" priority="1297" stopIfTrue="1" operator="between">
      <formula>34.1</formula>
      <formula>79</formula>
    </cfRule>
    <cfRule type="cellIs" dxfId="1220" priority="1298" stopIfTrue="1" operator="between">
      <formula>13.1</formula>
      <formula>34</formula>
    </cfRule>
    <cfRule type="cellIs" dxfId="1219" priority="1299" stopIfTrue="1" operator="between">
      <formula>5.1</formula>
      <formula>13</formula>
    </cfRule>
    <cfRule type="cellIs" dxfId="1218" priority="1300" stopIfTrue="1" operator="between">
      <formula>0</formula>
      <formula>5</formula>
    </cfRule>
    <cfRule type="containsBlanks" dxfId="1217" priority="1301" stopIfTrue="1">
      <formula>LEN(TRIM(F108))=0</formula>
    </cfRule>
  </conditionalFormatting>
  <conditionalFormatting sqref="R108">
    <cfRule type="cellIs" dxfId="1216" priority="1294" stopIfTrue="1" operator="equal">
      <formula>"NO"</formula>
    </cfRule>
  </conditionalFormatting>
  <conditionalFormatting sqref="S108">
    <cfRule type="cellIs" dxfId="1215" priority="1293" stopIfTrue="1" operator="equal">
      <formula>"INVIABLE SANITARIAMENTE"</formula>
    </cfRule>
  </conditionalFormatting>
  <conditionalFormatting sqref="S108">
    <cfRule type="containsText" dxfId="1214" priority="1288" stopIfTrue="1" operator="containsText" text="INVIABLE SANITARIAMENTE">
      <formula>NOT(ISERROR(SEARCH("INVIABLE SANITARIAMENTE",S108)))</formula>
    </cfRule>
    <cfRule type="containsText" dxfId="1213" priority="1289" stopIfTrue="1" operator="containsText" text="ALTO">
      <formula>NOT(ISERROR(SEARCH("ALTO",S108)))</formula>
    </cfRule>
    <cfRule type="containsText" dxfId="1212" priority="1290" stopIfTrue="1" operator="containsText" text="MEDIO">
      <formula>NOT(ISERROR(SEARCH("MEDIO",S108)))</formula>
    </cfRule>
    <cfRule type="containsText" dxfId="1211" priority="1291" stopIfTrue="1" operator="containsText" text="BAJO">
      <formula>NOT(ISERROR(SEARCH("BAJO",S108)))</formula>
    </cfRule>
    <cfRule type="containsText" dxfId="1210" priority="1292" stopIfTrue="1" operator="containsText" text="SIN RIESGO">
      <formula>NOT(ISERROR(SEARCH("SIN RIESGO",S108)))</formula>
    </cfRule>
  </conditionalFormatting>
  <conditionalFormatting sqref="S108">
    <cfRule type="containsText" dxfId="1209" priority="1287" stopIfTrue="1" operator="containsText" text="SIN RIESGO">
      <formula>NOT(ISERROR(SEARCH("SIN RIESGO",S108)))</formula>
    </cfRule>
  </conditionalFormatting>
  <conditionalFormatting sqref="S108">
    <cfRule type="cellIs" dxfId="1208" priority="1286" stopIfTrue="1" operator="equal">
      <formula>"INVIABLE SANITARIAMENTE"</formula>
    </cfRule>
  </conditionalFormatting>
  <conditionalFormatting sqref="S108">
    <cfRule type="containsText" dxfId="1207" priority="1281" stopIfTrue="1" operator="containsText" text="INVIABLE SANITARIAMENTE">
      <formula>NOT(ISERROR(SEARCH("INVIABLE SANITARIAMENTE",S108)))</formula>
    </cfRule>
    <cfRule type="containsText" dxfId="1206" priority="1282" stopIfTrue="1" operator="containsText" text="ALTO">
      <formula>NOT(ISERROR(SEARCH("ALTO",S108)))</formula>
    </cfRule>
    <cfRule type="containsText" dxfId="1205" priority="1283" stopIfTrue="1" operator="containsText" text="MEDIO">
      <formula>NOT(ISERROR(SEARCH("MEDIO",S108)))</formula>
    </cfRule>
    <cfRule type="containsText" dxfId="1204" priority="1284" stopIfTrue="1" operator="containsText" text="BAJO">
      <formula>NOT(ISERROR(SEARCH("BAJO",S108)))</formula>
    </cfRule>
    <cfRule type="containsText" dxfId="1203" priority="1285" stopIfTrue="1" operator="containsText" text="SIN RIESGO">
      <formula>NOT(ISERROR(SEARCH("SIN RIESGO",S108)))</formula>
    </cfRule>
  </conditionalFormatting>
  <conditionalFormatting sqref="S108">
    <cfRule type="containsText" dxfId="1202" priority="1280" stopIfTrue="1" operator="containsText" text="SIN RIESGO">
      <formula>NOT(ISERROR(SEARCH("SIN RIESGO",S108)))</formula>
    </cfRule>
  </conditionalFormatting>
  <conditionalFormatting sqref="R332">
    <cfRule type="cellIs" dxfId="1201" priority="1278" stopIfTrue="1" operator="equal">
      <formula>"NO"</formula>
    </cfRule>
  </conditionalFormatting>
  <conditionalFormatting sqref="S332">
    <cfRule type="cellIs" dxfId="1200" priority="1279" stopIfTrue="1" operator="equal">
      <formula>"INVIABLE SANITARIAMENTE"</formula>
    </cfRule>
  </conditionalFormatting>
  <conditionalFormatting sqref="Q332">
    <cfRule type="containsBlanks" dxfId="1199" priority="1271" stopIfTrue="1">
      <formula>LEN(TRIM(Q332))=0</formula>
    </cfRule>
    <cfRule type="cellIs" dxfId="1198" priority="1272" stopIfTrue="1" operator="between">
      <formula>80.1</formula>
      <formula>100</formula>
    </cfRule>
    <cfRule type="cellIs" dxfId="1197" priority="1273" stopIfTrue="1" operator="between">
      <formula>35.1</formula>
      <formula>80</formula>
    </cfRule>
    <cfRule type="cellIs" dxfId="1196" priority="1274" stopIfTrue="1" operator="between">
      <formula>14.1</formula>
      <formula>35</formula>
    </cfRule>
    <cfRule type="cellIs" dxfId="1195" priority="1275" stopIfTrue="1" operator="between">
      <formula>5.1</formula>
      <formula>14</formula>
    </cfRule>
    <cfRule type="cellIs" dxfId="1194" priority="1276" stopIfTrue="1" operator="between">
      <formula>0</formula>
      <formula>5</formula>
    </cfRule>
    <cfRule type="containsBlanks" dxfId="1193" priority="1277" stopIfTrue="1">
      <formula>LEN(TRIM(Q332))=0</formula>
    </cfRule>
  </conditionalFormatting>
  <conditionalFormatting sqref="S332">
    <cfRule type="containsText" dxfId="1192" priority="1266" stopIfTrue="1" operator="containsText" text="INVIABLE SANITARIAMENTE">
      <formula>NOT(ISERROR(SEARCH("INVIABLE SANITARIAMENTE",S332)))</formula>
    </cfRule>
    <cfRule type="containsText" dxfId="1191" priority="1267" stopIfTrue="1" operator="containsText" text="ALTO">
      <formula>NOT(ISERROR(SEARCH("ALTO",S332)))</formula>
    </cfRule>
    <cfRule type="containsText" dxfId="1190" priority="1268" stopIfTrue="1" operator="containsText" text="MEDIO">
      <formula>NOT(ISERROR(SEARCH("MEDIO",S332)))</formula>
    </cfRule>
    <cfRule type="containsText" dxfId="1189" priority="1269" stopIfTrue="1" operator="containsText" text="BAJO">
      <formula>NOT(ISERROR(SEARCH("BAJO",S332)))</formula>
    </cfRule>
    <cfRule type="containsText" dxfId="1188" priority="1270" stopIfTrue="1" operator="containsText" text="SIN RIESGO">
      <formula>NOT(ISERROR(SEARCH("SIN RIESGO",S332)))</formula>
    </cfRule>
  </conditionalFormatting>
  <conditionalFormatting sqref="S332">
    <cfRule type="containsText" dxfId="1187" priority="1265" stopIfTrue="1" operator="containsText" text="SIN RIESGO">
      <formula>NOT(ISERROR(SEARCH("SIN RIESGO",S332)))</formula>
    </cfRule>
  </conditionalFormatting>
  <conditionalFormatting sqref="Q332">
    <cfRule type="containsBlanks" dxfId="1186" priority="1258" stopIfTrue="1">
      <formula>LEN(TRIM(Q332))=0</formula>
    </cfRule>
    <cfRule type="cellIs" dxfId="1185" priority="1259" stopIfTrue="1" operator="between">
      <formula>80.1</formula>
      <formula>100</formula>
    </cfRule>
    <cfRule type="cellIs" dxfId="1184" priority="1260" stopIfTrue="1" operator="between">
      <formula>35.1</formula>
      <formula>80</formula>
    </cfRule>
    <cfRule type="cellIs" dxfId="1183" priority="1261" stopIfTrue="1" operator="between">
      <formula>14.1</formula>
      <formula>35</formula>
    </cfRule>
    <cfRule type="cellIs" dxfId="1182" priority="1262" stopIfTrue="1" operator="between">
      <formula>5.1</formula>
      <formula>14</formula>
    </cfRule>
    <cfRule type="cellIs" dxfId="1181" priority="1263" stopIfTrue="1" operator="between">
      <formula>0</formula>
      <formula>5</formula>
    </cfRule>
    <cfRule type="containsBlanks" dxfId="1180" priority="1264" stopIfTrue="1">
      <formula>LEN(TRIM(Q332))=0</formula>
    </cfRule>
  </conditionalFormatting>
  <conditionalFormatting sqref="S332">
    <cfRule type="cellIs" dxfId="1179" priority="1257" stopIfTrue="1" operator="equal">
      <formula>"INVIABLE SANITARIAMENTE"</formula>
    </cfRule>
  </conditionalFormatting>
  <conditionalFormatting sqref="S332">
    <cfRule type="containsText" dxfId="1178" priority="1252" stopIfTrue="1" operator="containsText" text="INVIABLE SANITARIAMENTE">
      <formula>NOT(ISERROR(SEARCH("INVIABLE SANITARIAMENTE",S332)))</formula>
    </cfRule>
    <cfRule type="containsText" dxfId="1177" priority="1253" stopIfTrue="1" operator="containsText" text="ALTO">
      <formula>NOT(ISERROR(SEARCH("ALTO",S332)))</formula>
    </cfRule>
    <cfRule type="containsText" dxfId="1176" priority="1254" stopIfTrue="1" operator="containsText" text="MEDIO">
      <formula>NOT(ISERROR(SEARCH("MEDIO",S332)))</formula>
    </cfRule>
    <cfRule type="containsText" dxfId="1175" priority="1255" stopIfTrue="1" operator="containsText" text="BAJO">
      <formula>NOT(ISERROR(SEARCH("BAJO",S332)))</formula>
    </cfRule>
    <cfRule type="containsText" dxfId="1174" priority="1256" stopIfTrue="1" operator="containsText" text="SIN RIESGO">
      <formula>NOT(ISERROR(SEARCH("SIN RIESGO",S332)))</formula>
    </cfRule>
  </conditionalFormatting>
  <conditionalFormatting sqref="S332">
    <cfRule type="containsText" dxfId="1173" priority="1251" stopIfTrue="1" operator="containsText" text="SIN RIESGO">
      <formula>NOT(ISERROR(SEARCH("SIN RIESGO",S332)))</formula>
    </cfRule>
  </conditionalFormatting>
  <conditionalFormatting sqref="S332">
    <cfRule type="cellIs" dxfId="1172" priority="1250" stopIfTrue="1" operator="equal">
      <formula>"INVIABLE SANITARIAMENTE"</formula>
    </cfRule>
  </conditionalFormatting>
  <conditionalFormatting sqref="S332">
    <cfRule type="containsText" dxfId="1171" priority="1245" stopIfTrue="1" operator="containsText" text="INVIABLE SANITARIAMENTE">
      <formula>NOT(ISERROR(SEARCH("INVIABLE SANITARIAMENTE",S332)))</formula>
    </cfRule>
    <cfRule type="containsText" dxfId="1170" priority="1246" stopIfTrue="1" operator="containsText" text="ALTO">
      <formula>NOT(ISERROR(SEARCH("ALTO",S332)))</formula>
    </cfRule>
    <cfRule type="containsText" dxfId="1169" priority="1247" stopIfTrue="1" operator="containsText" text="MEDIO">
      <formula>NOT(ISERROR(SEARCH("MEDIO",S332)))</formula>
    </cfRule>
    <cfRule type="containsText" dxfId="1168" priority="1248" stopIfTrue="1" operator="containsText" text="BAJO">
      <formula>NOT(ISERROR(SEARCH("BAJO",S332)))</formula>
    </cfRule>
    <cfRule type="containsText" dxfId="1167" priority="1249" stopIfTrue="1" operator="containsText" text="SIN RIESGO">
      <formula>NOT(ISERROR(SEARCH("SIN RIESGO",S332)))</formula>
    </cfRule>
  </conditionalFormatting>
  <conditionalFormatting sqref="S332">
    <cfRule type="containsText" dxfId="1166" priority="1244" stopIfTrue="1" operator="containsText" text="SIN RIESGO">
      <formula>NOT(ISERROR(SEARCH("SIN RIESGO",S332)))</formula>
    </cfRule>
  </conditionalFormatting>
  <conditionalFormatting sqref="R333">
    <cfRule type="cellIs" dxfId="1165" priority="1242" stopIfTrue="1" operator="equal">
      <formula>"NO"</formula>
    </cfRule>
  </conditionalFormatting>
  <conditionalFormatting sqref="S333">
    <cfRule type="cellIs" dxfId="1164" priority="1243" stopIfTrue="1" operator="equal">
      <formula>"INVIABLE SANITARIAMENTE"</formula>
    </cfRule>
  </conditionalFormatting>
  <conditionalFormatting sqref="E333:Q333">
    <cfRule type="containsBlanks" dxfId="1163" priority="1235" stopIfTrue="1">
      <formula>LEN(TRIM(E333))=0</formula>
    </cfRule>
    <cfRule type="cellIs" dxfId="1162" priority="1236" stopIfTrue="1" operator="between">
      <formula>80.1</formula>
      <formula>100</formula>
    </cfRule>
    <cfRule type="cellIs" dxfId="1161" priority="1237" stopIfTrue="1" operator="between">
      <formula>35.1</formula>
      <formula>80</formula>
    </cfRule>
    <cfRule type="cellIs" dxfId="1160" priority="1238" stopIfTrue="1" operator="between">
      <formula>14.1</formula>
      <formula>35</formula>
    </cfRule>
    <cfRule type="cellIs" dxfId="1159" priority="1239" stopIfTrue="1" operator="between">
      <formula>5.1</formula>
      <formula>14</formula>
    </cfRule>
    <cfRule type="cellIs" dxfId="1158" priority="1240" stopIfTrue="1" operator="between">
      <formula>0</formula>
      <formula>5</formula>
    </cfRule>
    <cfRule type="containsBlanks" dxfId="1157" priority="1241" stopIfTrue="1">
      <formula>LEN(TRIM(E333))=0</formula>
    </cfRule>
  </conditionalFormatting>
  <conditionalFormatting sqref="S333">
    <cfRule type="containsText" dxfId="1156" priority="1230" stopIfTrue="1" operator="containsText" text="INVIABLE SANITARIAMENTE">
      <formula>NOT(ISERROR(SEARCH("INVIABLE SANITARIAMENTE",S333)))</formula>
    </cfRule>
    <cfRule type="containsText" dxfId="1155" priority="1231" stopIfTrue="1" operator="containsText" text="ALTO">
      <formula>NOT(ISERROR(SEARCH("ALTO",S333)))</formula>
    </cfRule>
    <cfRule type="containsText" dxfId="1154" priority="1232" stopIfTrue="1" operator="containsText" text="MEDIO">
      <formula>NOT(ISERROR(SEARCH("MEDIO",S333)))</formula>
    </cfRule>
    <cfRule type="containsText" dxfId="1153" priority="1233" stopIfTrue="1" operator="containsText" text="BAJO">
      <formula>NOT(ISERROR(SEARCH("BAJO",S333)))</formula>
    </cfRule>
    <cfRule type="containsText" dxfId="1152" priority="1234" stopIfTrue="1" operator="containsText" text="SIN RIESGO">
      <formula>NOT(ISERROR(SEARCH("SIN RIESGO",S333)))</formula>
    </cfRule>
  </conditionalFormatting>
  <conditionalFormatting sqref="S333">
    <cfRule type="containsText" dxfId="1151" priority="1229" stopIfTrue="1" operator="containsText" text="SIN RIESGO">
      <formula>NOT(ISERROR(SEARCH("SIN RIESGO",S333)))</formula>
    </cfRule>
  </conditionalFormatting>
  <conditionalFormatting sqref="E333:Q333">
    <cfRule type="containsBlanks" dxfId="1150" priority="1222" stopIfTrue="1">
      <formula>LEN(TRIM(E333))=0</formula>
    </cfRule>
    <cfRule type="cellIs" dxfId="1149" priority="1223" stopIfTrue="1" operator="between">
      <formula>80.1</formula>
      <formula>100</formula>
    </cfRule>
    <cfRule type="cellIs" dxfId="1148" priority="1224" stopIfTrue="1" operator="between">
      <formula>35.1</formula>
      <formula>80</formula>
    </cfRule>
    <cfRule type="cellIs" dxfId="1147" priority="1225" stopIfTrue="1" operator="between">
      <formula>14.1</formula>
      <formula>35</formula>
    </cfRule>
    <cfRule type="cellIs" dxfId="1146" priority="1226" stopIfTrue="1" operator="between">
      <formula>5.1</formula>
      <formula>14</formula>
    </cfRule>
    <cfRule type="cellIs" dxfId="1145" priority="1227" stopIfTrue="1" operator="between">
      <formula>0</formula>
      <formula>5</formula>
    </cfRule>
    <cfRule type="containsBlanks" dxfId="1144" priority="1228" stopIfTrue="1">
      <formula>LEN(TRIM(E333))=0</formula>
    </cfRule>
  </conditionalFormatting>
  <conditionalFormatting sqref="S333">
    <cfRule type="cellIs" dxfId="1143" priority="1221" stopIfTrue="1" operator="equal">
      <formula>"INVIABLE SANITARIAMENTE"</formula>
    </cfRule>
  </conditionalFormatting>
  <conditionalFormatting sqref="S333">
    <cfRule type="containsText" dxfId="1142" priority="1216" stopIfTrue="1" operator="containsText" text="INVIABLE SANITARIAMENTE">
      <formula>NOT(ISERROR(SEARCH("INVIABLE SANITARIAMENTE",S333)))</formula>
    </cfRule>
    <cfRule type="containsText" dxfId="1141" priority="1217" stopIfTrue="1" operator="containsText" text="ALTO">
      <formula>NOT(ISERROR(SEARCH("ALTO",S333)))</formula>
    </cfRule>
    <cfRule type="containsText" dxfId="1140" priority="1218" stopIfTrue="1" operator="containsText" text="MEDIO">
      <formula>NOT(ISERROR(SEARCH("MEDIO",S333)))</formula>
    </cfRule>
    <cfRule type="containsText" dxfId="1139" priority="1219" stopIfTrue="1" operator="containsText" text="BAJO">
      <formula>NOT(ISERROR(SEARCH("BAJO",S333)))</formula>
    </cfRule>
    <cfRule type="containsText" dxfId="1138" priority="1220" stopIfTrue="1" operator="containsText" text="SIN RIESGO">
      <formula>NOT(ISERROR(SEARCH("SIN RIESGO",S333)))</formula>
    </cfRule>
  </conditionalFormatting>
  <conditionalFormatting sqref="S333">
    <cfRule type="containsText" dxfId="1137" priority="1215" stopIfTrue="1" operator="containsText" text="SIN RIESGO">
      <formula>NOT(ISERROR(SEARCH("SIN RIESGO",S333)))</formula>
    </cfRule>
  </conditionalFormatting>
  <conditionalFormatting sqref="S333">
    <cfRule type="cellIs" dxfId="1136" priority="1214" stopIfTrue="1" operator="equal">
      <formula>"INVIABLE SANITARIAMENTE"</formula>
    </cfRule>
  </conditionalFormatting>
  <conditionalFormatting sqref="S333">
    <cfRule type="containsText" dxfId="1135" priority="1209" stopIfTrue="1" operator="containsText" text="INVIABLE SANITARIAMENTE">
      <formula>NOT(ISERROR(SEARCH("INVIABLE SANITARIAMENTE",S333)))</formula>
    </cfRule>
    <cfRule type="containsText" dxfId="1134" priority="1210" stopIfTrue="1" operator="containsText" text="ALTO">
      <formula>NOT(ISERROR(SEARCH("ALTO",S333)))</formula>
    </cfRule>
    <cfRule type="containsText" dxfId="1133" priority="1211" stopIfTrue="1" operator="containsText" text="MEDIO">
      <formula>NOT(ISERROR(SEARCH("MEDIO",S333)))</formula>
    </cfRule>
    <cfRule type="containsText" dxfId="1132" priority="1212" stopIfTrue="1" operator="containsText" text="BAJO">
      <formula>NOT(ISERROR(SEARCH("BAJO",S333)))</formula>
    </cfRule>
    <cfRule type="containsText" dxfId="1131" priority="1213" stopIfTrue="1" operator="containsText" text="SIN RIESGO">
      <formula>NOT(ISERROR(SEARCH("SIN RIESGO",S333)))</formula>
    </cfRule>
  </conditionalFormatting>
  <conditionalFormatting sqref="S333">
    <cfRule type="containsText" dxfId="1130" priority="1208" stopIfTrue="1" operator="containsText" text="SIN RIESGO">
      <formula>NOT(ISERROR(SEARCH("SIN RIESGO",S333)))</formula>
    </cfRule>
  </conditionalFormatting>
  <conditionalFormatting sqref="S425">
    <cfRule type="cellIs" dxfId="1129" priority="1207" stopIfTrue="1" operator="equal">
      <formula>"INVIABLE SANITARIAMENTE"</formula>
    </cfRule>
  </conditionalFormatting>
  <conditionalFormatting sqref="Q425">
    <cfRule type="containsBlanks" dxfId="1128" priority="1200" stopIfTrue="1">
      <formula>LEN(TRIM(Q425))=0</formula>
    </cfRule>
    <cfRule type="cellIs" dxfId="1127" priority="1201" stopIfTrue="1" operator="between">
      <formula>80.1</formula>
      <formula>100</formula>
    </cfRule>
    <cfRule type="cellIs" dxfId="1126" priority="1202" stopIfTrue="1" operator="between">
      <formula>35.1</formula>
      <formula>80</formula>
    </cfRule>
    <cfRule type="cellIs" dxfId="1125" priority="1203" stopIfTrue="1" operator="between">
      <formula>14.1</formula>
      <formula>35</formula>
    </cfRule>
    <cfRule type="cellIs" dxfId="1124" priority="1204" stopIfTrue="1" operator="between">
      <formula>5.1</formula>
      <formula>14</formula>
    </cfRule>
    <cfRule type="cellIs" dxfId="1123" priority="1205" stopIfTrue="1" operator="between">
      <formula>0</formula>
      <formula>5</formula>
    </cfRule>
    <cfRule type="containsBlanks" dxfId="1122" priority="1206" stopIfTrue="1">
      <formula>LEN(TRIM(Q425))=0</formula>
    </cfRule>
  </conditionalFormatting>
  <conditionalFormatting sqref="S425">
    <cfRule type="containsText" dxfId="1121" priority="1195" stopIfTrue="1" operator="containsText" text="INVIABLE SANITARIAMENTE">
      <formula>NOT(ISERROR(SEARCH("INVIABLE SANITARIAMENTE",S425)))</formula>
    </cfRule>
    <cfRule type="containsText" dxfId="1120" priority="1196" stopIfTrue="1" operator="containsText" text="ALTO">
      <formula>NOT(ISERROR(SEARCH("ALTO",S425)))</formula>
    </cfRule>
    <cfRule type="containsText" dxfId="1119" priority="1197" stopIfTrue="1" operator="containsText" text="MEDIO">
      <formula>NOT(ISERROR(SEARCH("MEDIO",S425)))</formula>
    </cfRule>
    <cfRule type="containsText" dxfId="1118" priority="1198" stopIfTrue="1" operator="containsText" text="BAJO">
      <formula>NOT(ISERROR(SEARCH("BAJO",S425)))</formula>
    </cfRule>
    <cfRule type="containsText" dxfId="1117" priority="1199" stopIfTrue="1" operator="containsText" text="SIN RIESGO">
      <formula>NOT(ISERROR(SEARCH("SIN RIESGO",S425)))</formula>
    </cfRule>
  </conditionalFormatting>
  <conditionalFormatting sqref="S425">
    <cfRule type="containsText" dxfId="1116" priority="1194" stopIfTrue="1" operator="containsText" text="SIN RIESGO">
      <formula>NOT(ISERROR(SEARCH("SIN RIESGO",S425)))</formula>
    </cfRule>
  </conditionalFormatting>
  <conditionalFormatting sqref="R425">
    <cfRule type="cellIs" dxfId="1115" priority="1193" stopIfTrue="1" operator="equal">
      <formula>"NO"</formula>
    </cfRule>
  </conditionalFormatting>
  <conditionalFormatting sqref="Q425">
    <cfRule type="containsBlanks" dxfId="1114" priority="1186" stopIfTrue="1">
      <formula>LEN(TRIM(Q425))=0</formula>
    </cfRule>
    <cfRule type="cellIs" dxfId="1113" priority="1187" stopIfTrue="1" operator="between">
      <formula>80.1</formula>
      <formula>100</formula>
    </cfRule>
    <cfRule type="cellIs" dxfId="1112" priority="1188" stopIfTrue="1" operator="between">
      <formula>35.1</formula>
      <formula>80</formula>
    </cfRule>
    <cfRule type="cellIs" dxfId="1111" priority="1189" stopIfTrue="1" operator="between">
      <formula>14.1</formula>
      <formula>35</formula>
    </cfRule>
    <cfRule type="cellIs" dxfId="1110" priority="1190" stopIfTrue="1" operator="between">
      <formula>5.1</formula>
      <formula>14</formula>
    </cfRule>
    <cfRule type="cellIs" dxfId="1109" priority="1191" stopIfTrue="1" operator="between">
      <formula>0</formula>
      <formula>5</formula>
    </cfRule>
    <cfRule type="containsBlanks" dxfId="1108" priority="1192" stopIfTrue="1">
      <formula>LEN(TRIM(Q425))=0</formula>
    </cfRule>
  </conditionalFormatting>
  <conditionalFormatting sqref="Q425">
    <cfRule type="containsBlanks" dxfId="1107" priority="1179" stopIfTrue="1">
      <formula>LEN(TRIM(Q425))=0</formula>
    </cfRule>
    <cfRule type="cellIs" dxfId="1106" priority="1180" stopIfTrue="1" operator="between">
      <formula>80.1</formula>
      <formula>100</formula>
    </cfRule>
    <cfRule type="cellIs" dxfId="1105" priority="1181" stopIfTrue="1" operator="between">
      <formula>35.1</formula>
      <formula>80</formula>
    </cfRule>
    <cfRule type="cellIs" dxfId="1104" priority="1182" stopIfTrue="1" operator="between">
      <formula>14.1</formula>
      <formula>35</formula>
    </cfRule>
    <cfRule type="cellIs" dxfId="1103" priority="1183" stopIfTrue="1" operator="between">
      <formula>5.1</formula>
      <formula>14</formula>
    </cfRule>
    <cfRule type="cellIs" dxfId="1102" priority="1184" stopIfTrue="1" operator="between">
      <formula>0</formula>
      <formula>5</formula>
    </cfRule>
    <cfRule type="containsBlanks" dxfId="1101" priority="1185" stopIfTrue="1">
      <formula>LEN(TRIM(Q425))=0</formula>
    </cfRule>
  </conditionalFormatting>
  <conditionalFormatting sqref="S425">
    <cfRule type="cellIs" dxfId="1100" priority="1178" stopIfTrue="1" operator="equal">
      <formula>"INVIABLE SANITARIAMENTE"</formula>
    </cfRule>
  </conditionalFormatting>
  <conditionalFormatting sqref="S425">
    <cfRule type="containsText" dxfId="1099" priority="1173" stopIfTrue="1" operator="containsText" text="INVIABLE SANITARIAMENTE">
      <formula>NOT(ISERROR(SEARCH("INVIABLE SANITARIAMENTE",S425)))</formula>
    </cfRule>
    <cfRule type="containsText" dxfId="1098" priority="1174" stopIfTrue="1" operator="containsText" text="ALTO">
      <formula>NOT(ISERROR(SEARCH("ALTO",S425)))</formula>
    </cfRule>
    <cfRule type="containsText" dxfId="1097" priority="1175" stopIfTrue="1" operator="containsText" text="MEDIO">
      <formula>NOT(ISERROR(SEARCH("MEDIO",S425)))</formula>
    </cfRule>
    <cfRule type="containsText" dxfId="1096" priority="1176" stopIfTrue="1" operator="containsText" text="BAJO">
      <formula>NOT(ISERROR(SEARCH("BAJO",S425)))</formula>
    </cfRule>
    <cfRule type="containsText" dxfId="1095" priority="1177" stopIfTrue="1" operator="containsText" text="SIN RIESGO">
      <formula>NOT(ISERROR(SEARCH("SIN RIESGO",S425)))</formula>
    </cfRule>
  </conditionalFormatting>
  <conditionalFormatting sqref="S425">
    <cfRule type="containsText" dxfId="1094" priority="1172" stopIfTrue="1" operator="containsText" text="SIN RIESGO">
      <formula>NOT(ISERROR(SEARCH("SIN RIESGO",S425)))</formula>
    </cfRule>
  </conditionalFormatting>
  <conditionalFormatting sqref="S425">
    <cfRule type="cellIs" dxfId="1093" priority="1171" stopIfTrue="1" operator="equal">
      <formula>"INVIABLE SANITARIAMENTE"</formula>
    </cfRule>
  </conditionalFormatting>
  <conditionalFormatting sqref="S425">
    <cfRule type="containsText" dxfId="1092" priority="1166" stopIfTrue="1" operator="containsText" text="INVIABLE SANITARIAMENTE">
      <formula>NOT(ISERROR(SEARCH("INVIABLE SANITARIAMENTE",S425)))</formula>
    </cfRule>
    <cfRule type="containsText" dxfId="1091" priority="1167" stopIfTrue="1" operator="containsText" text="ALTO">
      <formula>NOT(ISERROR(SEARCH("ALTO",S425)))</formula>
    </cfRule>
    <cfRule type="containsText" dxfId="1090" priority="1168" stopIfTrue="1" operator="containsText" text="MEDIO">
      <formula>NOT(ISERROR(SEARCH("MEDIO",S425)))</formula>
    </cfRule>
    <cfRule type="containsText" dxfId="1089" priority="1169" stopIfTrue="1" operator="containsText" text="BAJO">
      <formula>NOT(ISERROR(SEARCH("BAJO",S425)))</formula>
    </cfRule>
    <cfRule type="containsText" dxfId="1088" priority="1170" stopIfTrue="1" operator="containsText" text="SIN RIESGO">
      <formula>NOT(ISERROR(SEARCH("SIN RIESGO",S425)))</formula>
    </cfRule>
  </conditionalFormatting>
  <conditionalFormatting sqref="S425">
    <cfRule type="containsText" dxfId="1087" priority="1165" stopIfTrue="1" operator="containsText" text="SIN RIESGO">
      <formula>NOT(ISERROR(SEARCH("SIN RIESGO",S425)))</formula>
    </cfRule>
  </conditionalFormatting>
  <conditionalFormatting sqref="S426">
    <cfRule type="cellIs" dxfId="1086" priority="1164" stopIfTrue="1" operator="equal">
      <formula>"INVIABLE SANITARIAMENTE"</formula>
    </cfRule>
  </conditionalFormatting>
  <conditionalFormatting sqref="Q426">
    <cfRule type="containsBlanks" dxfId="1085" priority="1157" stopIfTrue="1">
      <formula>LEN(TRIM(Q426))=0</formula>
    </cfRule>
    <cfRule type="cellIs" dxfId="1084" priority="1158" stopIfTrue="1" operator="between">
      <formula>80.1</formula>
      <formula>100</formula>
    </cfRule>
    <cfRule type="cellIs" dxfId="1083" priority="1159" stopIfTrue="1" operator="between">
      <formula>35.1</formula>
      <formula>80</formula>
    </cfRule>
    <cfRule type="cellIs" dxfId="1082" priority="1160" stopIfTrue="1" operator="between">
      <formula>14.1</formula>
      <formula>35</formula>
    </cfRule>
    <cfRule type="cellIs" dxfId="1081" priority="1161" stopIfTrue="1" operator="between">
      <formula>5.1</formula>
      <formula>14</formula>
    </cfRule>
    <cfRule type="cellIs" dxfId="1080" priority="1162" stopIfTrue="1" operator="between">
      <formula>0</formula>
      <formula>5</formula>
    </cfRule>
    <cfRule type="containsBlanks" dxfId="1079" priority="1163" stopIfTrue="1">
      <formula>LEN(TRIM(Q426))=0</formula>
    </cfRule>
  </conditionalFormatting>
  <conditionalFormatting sqref="S426">
    <cfRule type="containsText" dxfId="1078" priority="1152" stopIfTrue="1" operator="containsText" text="INVIABLE SANITARIAMENTE">
      <formula>NOT(ISERROR(SEARCH("INVIABLE SANITARIAMENTE",S426)))</formula>
    </cfRule>
    <cfRule type="containsText" dxfId="1077" priority="1153" stopIfTrue="1" operator="containsText" text="ALTO">
      <formula>NOT(ISERROR(SEARCH("ALTO",S426)))</formula>
    </cfRule>
    <cfRule type="containsText" dxfId="1076" priority="1154" stopIfTrue="1" operator="containsText" text="MEDIO">
      <formula>NOT(ISERROR(SEARCH("MEDIO",S426)))</formula>
    </cfRule>
    <cfRule type="containsText" dxfId="1075" priority="1155" stopIfTrue="1" operator="containsText" text="BAJO">
      <formula>NOT(ISERROR(SEARCH("BAJO",S426)))</formula>
    </cfRule>
    <cfRule type="containsText" dxfId="1074" priority="1156" stopIfTrue="1" operator="containsText" text="SIN RIESGO">
      <formula>NOT(ISERROR(SEARCH("SIN RIESGO",S426)))</formula>
    </cfRule>
  </conditionalFormatting>
  <conditionalFormatting sqref="S426">
    <cfRule type="containsText" dxfId="1073" priority="1151" stopIfTrue="1" operator="containsText" text="SIN RIESGO">
      <formula>NOT(ISERROR(SEARCH("SIN RIESGO",S426)))</formula>
    </cfRule>
  </conditionalFormatting>
  <conditionalFormatting sqref="R426">
    <cfRule type="cellIs" dxfId="1072" priority="1150" stopIfTrue="1" operator="equal">
      <formula>"NO"</formula>
    </cfRule>
  </conditionalFormatting>
  <conditionalFormatting sqref="Q426">
    <cfRule type="containsBlanks" dxfId="1071" priority="1143" stopIfTrue="1">
      <formula>LEN(TRIM(Q426))=0</formula>
    </cfRule>
    <cfRule type="cellIs" dxfId="1070" priority="1144" stopIfTrue="1" operator="between">
      <formula>80.1</formula>
      <formula>100</formula>
    </cfRule>
    <cfRule type="cellIs" dxfId="1069" priority="1145" stopIfTrue="1" operator="between">
      <formula>35.1</formula>
      <formula>80</formula>
    </cfRule>
    <cfRule type="cellIs" dxfId="1068" priority="1146" stopIfTrue="1" operator="between">
      <formula>14.1</formula>
      <formula>35</formula>
    </cfRule>
    <cfRule type="cellIs" dxfId="1067" priority="1147" stopIfTrue="1" operator="between">
      <formula>5.1</formula>
      <formula>14</formula>
    </cfRule>
    <cfRule type="cellIs" dxfId="1066" priority="1148" stopIfTrue="1" operator="between">
      <formula>0</formula>
      <formula>5</formula>
    </cfRule>
    <cfRule type="containsBlanks" dxfId="1065" priority="1149" stopIfTrue="1">
      <formula>LEN(TRIM(Q426))=0</formula>
    </cfRule>
  </conditionalFormatting>
  <conditionalFormatting sqref="Q426">
    <cfRule type="containsBlanks" dxfId="1064" priority="1136" stopIfTrue="1">
      <formula>LEN(TRIM(Q426))=0</formula>
    </cfRule>
    <cfRule type="cellIs" dxfId="1063" priority="1137" stopIfTrue="1" operator="between">
      <formula>80.1</formula>
      <formula>100</formula>
    </cfRule>
    <cfRule type="cellIs" dxfId="1062" priority="1138" stopIfTrue="1" operator="between">
      <formula>35.1</formula>
      <formula>80</formula>
    </cfRule>
    <cfRule type="cellIs" dxfId="1061" priority="1139" stopIfTrue="1" operator="between">
      <formula>14.1</formula>
      <formula>35</formula>
    </cfRule>
    <cfRule type="cellIs" dxfId="1060" priority="1140" stopIfTrue="1" operator="between">
      <formula>5.1</formula>
      <formula>14</formula>
    </cfRule>
    <cfRule type="cellIs" dxfId="1059" priority="1141" stopIfTrue="1" operator="between">
      <formula>0</formula>
      <formula>5</formula>
    </cfRule>
    <cfRule type="containsBlanks" dxfId="1058" priority="1142" stopIfTrue="1">
      <formula>LEN(TRIM(Q426))=0</formula>
    </cfRule>
  </conditionalFormatting>
  <conditionalFormatting sqref="S426">
    <cfRule type="cellIs" dxfId="1057" priority="1135" stopIfTrue="1" operator="equal">
      <formula>"INVIABLE SANITARIAMENTE"</formula>
    </cfRule>
  </conditionalFormatting>
  <conditionalFormatting sqref="S426">
    <cfRule type="containsText" dxfId="1056" priority="1130" stopIfTrue="1" operator="containsText" text="INVIABLE SANITARIAMENTE">
      <formula>NOT(ISERROR(SEARCH("INVIABLE SANITARIAMENTE",S426)))</formula>
    </cfRule>
    <cfRule type="containsText" dxfId="1055" priority="1131" stopIfTrue="1" operator="containsText" text="ALTO">
      <formula>NOT(ISERROR(SEARCH("ALTO",S426)))</formula>
    </cfRule>
    <cfRule type="containsText" dxfId="1054" priority="1132" stopIfTrue="1" operator="containsText" text="MEDIO">
      <formula>NOT(ISERROR(SEARCH("MEDIO",S426)))</formula>
    </cfRule>
    <cfRule type="containsText" dxfId="1053" priority="1133" stopIfTrue="1" operator="containsText" text="BAJO">
      <formula>NOT(ISERROR(SEARCH("BAJO",S426)))</formula>
    </cfRule>
    <cfRule type="containsText" dxfId="1052" priority="1134" stopIfTrue="1" operator="containsText" text="SIN RIESGO">
      <formula>NOT(ISERROR(SEARCH("SIN RIESGO",S426)))</formula>
    </cfRule>
  </conditionalFormatting>
  <conditionalFormatting sqref="S426">
    <cfRule type="containsText" dxfId="1051" priority="1129" stopIfTrue="1" operator="containsText" text="SIN RIESGO">
      <formula>NOT(ISERROR(SEARCH("SIN RIESGO",S426)))</formula>
    </cfRule>
  </conditionalFormatting>
  <conditionalFormatting sqref="S426">
    <cfRule type="cellIs" dxfId="1050" priority="1128" stopIfTrue="1" operator="equal">
      <formula>"INVIABLE SANITARIAMENTE"</formula>
    </cfRule>
  </conditionalFormatting>
  <conditionalFormatting sqref="S426">
    <cfRule type="containsText" dxfId="1049" priority="1123" stopIfTrue="1" operator="containsText" text="INVIABLE SANITARIAMENTE">
      <formula>NOT(ISERROR(SEARCH("INVIABLE SANITARIAMENTE",S426)))</formula>
    </cfRule>
    <cfRule type="containsText" dxfId="1048" priority="1124" stopIfTrue="1" operator="containsText" text="ALTO">
      <formula>NOT(ISERROR(SEARCH("ALTO",S426)))</formula>
    </cfRule>
    <cfRule type="containsText" dxfId="1047" priority="1125" stopIfTrue="1" operator="containsText" text="MEDIO">
      <formula>NOT(ISERROR(SEARCH("MEDIO",S426)))</formula>
    </cfRule>
    <cfRule type="containsText" dxfId="1046" priority="1126" stopIfTrue="1" operator="containsText" text="BAJO">
      <formula>NOT(ISERROR(SEARCH("BAJO",S426)))</formula>
    </cfRule>
    <cfRule type="containsText" dxfId="1045" priority="1127" stopIfTrue="1" operator="containsText" text="SIN RIESGO">
      <formula>NOT(ISERROR(SEARCH("SIN RIESGO",S426)))</formula>
    </cfRule>
  </conditionalFormatting>
  <conditionalFormatting sqref="S426">
    <cfRule type="containsText" dxfId="1044" priority="1122" stopIfTrue="1" operator="containsText" text="SIN RIESGO">
      <formula>NOT(ISERROR(SEARCH("SIN RIESGO",S426)))</formula>
    </cfRule>
  </conditionalFormatting>
  <conditionalFormatting sqref="S436">
    <cfRule type="cellIs" dxfId="1043" priority="1121" stopIfTrue="1" operator="equal">
      <formula>"INVIABLE SANITARIAMENTE"</formula>
    </cfRule>
  </conditionalFormatting>
  <conditionalFormatting sqref="Q436">
    <cfRule type="containsBlanks" dxfId="1042" priority="1114" stopIfTrue="1">
      <formula>LEN(TRIM(Q436))=0</formula>
    </cfRule>
    <cfRule type="cellIs" dxfId="1041" priority="1115" stopIfTrue="1" operator="between">
      <formula>80.1</formula>
      <formula>100</formula>
    </cfRule>
    <cfRule type="cellIs" dxfId="1040" priority="1116" stopIfTrue="1" operator="between">
      <formula>35.1</formula>
      <formula>80</formula>
    </cfRule>
    <cfRule type="cellIs" dxfId="1039" priority="1117" stopIfTrue="1" operator="between">
      <formula>14.1</formula>
      <formula>35</formula>
    </cfRule>
    <cfRule type="cellIs" dxfId="1038" priority="1118" stopIfTrue="1" operator="between">
      <formula>5.1</formula>
      <formula>14</formula>
    </cfRule>
    <cfRule type="cellIs" dxfId="1037" priority="1119" stopIfTrue="1" operator="between">
      <formula>0</formula>
      <formula>5</formula>
    </cfRule>
    <cfRule type="containsBlanks" dxfId="1036" priority="1120" stopIfTrue="1">
      <formula>LEN(TRIM(Q436))=0</formula>
    </cfRule>
  </conditionalFormatting>
  <conditionalFormatting sqref="S436">
    <cfRule type="containsText" dxfId="1035" priority="1109" stopIfTrue="1" operator="containsText" text="INVIABLE SANITARIAMENTE">
      <formula>NOT(ISERROR(SEARCH("INVIABLE SANITARIAMENTE",S436)))</formula>
    </cfRule>
    <cfRule type="containsText" dxfId="1034" priority="1110" stopIfTrue="1" operator="containsText" text="ALTO">
      <formula>NOT(ISERROR(SEARCH("ALTO",S436)))</formula>
    </cfRule>
    <cfRule type="containsText" dxfId="1033" priority="1111" stopIfTrue="1" operator="containsText" text="MEDIO">
      <formula>NOT(ISERROR(SEARCH("MEDIO",S436)))</formula>
    </cfRule>
    <cfRule type="containsText" dxfId="1032" priority="1112" stopIfTrue="1" operator="containsText" text="BAJO">
      <formula>NOT(ISERROR(SEARCH("BAJO",S436)))</formula>
    </cfRule>
    <cfRule type="containsText" dxfId="1031" priority="1113" stopIfTrue="1" operator="containsText" text="SIN RIESGO">
      <formula>NOT(ISERROR(SEARCH("SIN RIESGO",S436)))</formula>
    </cfRule>
  </conditionalFormatting>
  <conditionalFormatting sqref="S436">
    <cfRule type="containsText" dxfId="1030" priority="1108" stopIfTrue="1" operator="containsText" text="SIN RIESGO">
      <formula>NOT(ISERROR(SEARCH("SIN RIESGO",S436)))</formula>
    </cfRule>
  </conditionalFormatting>
  <conditionalFormatting sqref="R436">
    <cfRule type="cellIs" dxfId="1029" priority="1107" stopIfTrue="1" operator="equal">
      <formula>"NO"</formula>
    </cfRule>
  </conditionalFormatting>
  <conditionalFormatting sqref="Q436">
    <cfRule type="containsBlanks" dxfId="1028" priority="1100" stopIfTrue="1">
      <formula>LEN(TRIM(Q436))=0</formula>
    </cfRule>
    <cfRule type="cellIs" dxfId="1027" priority="1101" stopIfTrue="1" operator="between">
      <formula>80.1</formula>
      <formula>100</formula>
    </cfRule>
    <cfRule type="cellIs" dxfId="1026" priority="1102" stopIfTrue="1" operator="between">
      <formula>35.1</formula>
      <formula>80</formula>
    </cfRule>
    <cfRule type="cellIs" dxfId="1025" priority="1103" stopIfTrue="1" operator="between">
      <formula>14.1</formula>
      <formula>35</formula>
    </cfRule>
    <cfRule type="cellIs" dxfId="1024" priority="1104" stopIfTrue="1" operator="between">
      <formula>5.1</formula>
      <formula>14</formula>
    </cfRule>
    <cfRule type="cellIs" dxfId="1023" priority="1105" stopIfTrue="1" operator="between">
      <formula>0</formula>
      <formula>5</formula>
    </cfRule>
    <cfRule type="containsBlanks" dxfId="1022" priority="1106" stopIfTrue="1">
      <formula>LEN(TRIM(Q436))=0</formula>
    </cfRule>
  </conditionalFormatting>
  <conditionalFormatting sqref="Q436">
    <cfRule type="containsBlanks" dxfId="1021" priority="1093" stopIfTrue="1">
      <formula>LEN(TRIM(Q436))=0</formula>
    </cfRule>
    <cfRule type="cellIs" dxfId="1020" priority="1094" stopIfTrue="1" operator="between">
      <formula>80.1</formula>
      <formula>100</formula>
    </cfRule>
    <cfRule type="cellIs" dxfId="1019" priority="1095" stopIfTrue="1" operator="between">
      <formula>35.1</formula>
      <formula>80</formula>
    </cfRule>
    <cfRule type="cellIs" dxfId="1018" priority="1096" stopIfTrue="1" operator="between">
      <formula>14.1</formula>
      <formula>35</formula>
    </cfRule>
    <cfRule type="cellIs" dxfId="1017" priority="1097" stopIfTrue="1" operator="between">
      <formula>5.1</formula>
      <formula>14</formula>
    </cfRule>
    <cfRule type="cellIs" dxfId="1016" priority="1098" stopIfTrue="1" operator="between">
      <formula>0</formula>
      <formula>5</formula>
    </cfRule>
    <cfRule type="containsBlanks" dxfId="1015" priority="1099" stopIfTrue="1">
      <formula>LEN(TRIM(Q436))=0</formula>
    </cfRule>
  </conditionalFormatting>
  <conditionalFormatting sqref="S436">
    <cfRule type="cellIs" dxfId="1014" priority="1092" stopIfTrue="1" operator="equal">
      <formula>"INVIABLE SANITARIAMENTE"</formula>
    </cfRule>
  </conditionalFormatting>
  <conditionalFormatting sqref="S436">
    <cfRule type="containsText" dxfId="1013" priority="1087" stopIfTrue="1" operator="containsText" text="INVIABLE SANITARIAMENTE">
      <formula>NOT(ISERROR(SEARCH("INVIABLE SANITARIAMENTE",S436)))</formula>
    </cfRule>
    <cfRule type="containsText" dxfId="1012" priority="1088" stopIfTrue="1" operator="containsText" text="ALTO">
      <formula>NOT(ISERROR(SEARCH("ALTO",S436)))</formula>
    </cfRule>
    <cfRule type="containsText" dxfId="1011" priority="1089" stopIfTrue="1" operator="containsText" text="MEDIO">
      <formula>NOT(ISERROR(SEARCH("MEDIO",S436)))</formula>
    </cfRule>
    <cfRule type="containsText" dxfId="1010" priority="1090" stopIfTrue="1" operator="containsText" text="BAJO">
      <formula>NOT(ISERROR(SEARCH("BAJO",S436)))</formula>
    </cfRule>
    <cfRule type="containsText" dxfId="1009" priority="1091" stopIfTrue="1" operator="containsText" text="SIN RIESGO">
      <formula>NOT(ISERROR(SEARCH("SIN RIESGO",S436)))</formula>
    </cfRule>
  </conditionalFormatting>
  <conditionalFormatting sqref="S436">
    <cfRule type="containsText" dxfId="1008" priority="1086" stopIfTrue="1" operator="containsText" text="SIN RIESGO">
      <formula>NOT(ISERROR(SEARCH("SIN RIESGO",S436)))</formula>
    </cfRule>
  </conditionalFormatting>
  <conditionalFormatting sqref="S436">
    <cfRule type="cellIs" dxfId="1007" priority="1085" stopIfTrue="1" operator="equal">
      <formula>"INVIABLE SANITARIAMENTE"</formula>
    </cfRule>
  </conditionalFormatting>
  <conditionalFormatting sqref="S436">
    <cfRule type="containsText" dxfId="1006" priority="1080" stopIfTrue="1" operator="containsText" text="INVIABLE SANITARIAMENTE">
      <formula>NOT(ISERROR(SEARCH("INVIABLE SANITARIAMENTE",S436)))</formula>
    </cfRule>
    <cfRule type="containsText" dxfId="1005" priority="1081" stopIfTrue="1" operator="containsText" text="ALTO">
      <formula>NOT(ISERROR(SEARCH("ALTO",S436)))</formula>
    </cfRule>
    <cfRule type="containsText" dxfId="1004" priority="1082" stopIfTrue="1" operator="containsText" text="MEDIO">
      <formula>NOT(ISERROR(SEARCH("MEDIO",S436)))</formula>
    </cfRule>
    <cfRule type="containsText" dxfId="1003" priority="1083" stopIfTrue="1" operator="containsText" text="BAJO">
      <formula>NOT(ISERROR(SEARCH("BAJO",S436)))</formula>
    </cfRule>
    <cfRule type="containsText" dxfId="1002" priority="1084" stopIfTrue="1" operator="containsText" text="SIN RIESGO">
      <formula>NOT(ISERROR(SEARCH("SIN RIESGO",S436)))</formula>
    </cfRule>
  </conditionalFormatting>
  <conditionalFormatting sqref="S436">
    <cfRule type="containsText" dxfId="1001" priority="1079" stopIfTrue="1" operator="containsText" text="SIN RIESGO">
      <formula>NOT(ISERROR(SEARCH("SIN RIESGO",S436)))</formula>
    </cfRule>
  </conditionalFormatting>
  <conditionalFormatting sqref="E70:P76">
    <cfRule type="containsBlanks" dxfId="1000" priority="1072" stopIfTrue="1">
      <formula>LEN(TRIM(E70))=0</formula>
    </cfRule>
    <cfRule type="cellIs" dxfId="999" priority="1073" stopIfTrue="1" operator="between">
      <formula>80.1</formula>
      <formula>100</formula>
    </cfRule>
    <cfRule type="cellIs" dxfId="998" priority="1074" stopIfTrue="1" operator="between">
      <formula>35.1</formula>
      <formula>80</formula>
    </cfRule>
    <cfRule type="cellIs" dxfId="997" priority="1075" stopIfTrue="1" operator="between">
      <formula>14.1</formula>
      <formula>35</formula>
    </cfRule>
    <cfRule type="cellIs" dxfId="996" priority="1076" stopIfTrue="1" operator="between">
      <formula>5.1</formula>
      <formula>14</formula>
    </cfRule>
    <cfRule type="cellIs" dxfId="995" priority="1077" stopIfTrue="1" operator="between">
      <formula>0</formula>
      <formula>5</formula>
    </cfRule>
    <cfRule type="containsBlanks" dxfId="994" priority="1078" stopIfTrue="1">
      <formula>LEN(TRIM(E70))=0</formula>
    </cfRule>
  </conditionalFormatting>
  <conditionalFormatting sqref="E78:P78">
    <cfRule type="containsBlanks" dxfId="993" priority="1065" stopIfTrue="1">
      <formula>LEN(TRIM(E78))=0</formula>
    </cfRule>
    <cfRule type="cellIs" dxfId="992" priority="1066" stopIfTrue="1" operator="between">
      <formula>80.1</formula>
      <formula>100</formula>
    </cfRule>
    <cfRule type="cellIs" dxfId="991" priority="1067" stopIfTrue="1" operator="between">
      <formula>35.1</formula>
      <formula>80</formula>
    </cfRule>
    <cfRule type="cellIs" dxfId="990" priority="1068" stopIfTrue="1" operator="between">
      <formula>14.1</formula>
      <formula>35</formula>
    </cfRule>
    <cfRule type="cellIs" dxfId="989" priority="1069" stopIfTrue="1" operator="between">
      <formula>5.1</formula>
      <formula>14</formula>
    </cfRule>
    <cfRule type="cellIs" dxfId="988" priority="1070" stopIfTrue="1" operator="between">
      <formula>0</formula>
      <formula>5</formula>
    </cfRule>
    <cfRule type="containsBlanks" dxfId="987" priority="1071" stopIfTrue="1">
      <formula>LEN(TRIM(E78))=0</formula>
    </cfRule>
  </conditionalFormatting>
  <conditionalFormatting sqref="E85:P88">
    <cfRule type="containsBlanks" dxfId="986" priority="1044" stopIfTrue="1">
      <formula>LEN(TRIM(E85))=0</formula>
    </cfRule>
    <cfRule type="cellIs" dxfId="985" priority="1045" stopIfTrue="1" operator="between">
      <formula>80.1</formula>
      <formula>100</formula>
    </cfRule>
    <cfRule type="cellIs" dxfId="984" priority="1046" stopIfTrue="1" operator="between">
      <formula>35.1</formula>
      <formula>80</formula>
    </cfRule>
    <cfRule type="cellIs" dxfId="983" priority="1047" stopIfTrue="1" operator="between">
      <formula>14.1</formula>
      <formula>35</formula>
    </cfRule>
    <cfRule type="cellIs" dxfId="982" priority="1048" stopIfTrue="1" operator="between">
      <formula>5.1</formula>
      <formula>14</formula>
    </cfRule>
    <cfRule type="cellIs" dxfId="981" priority="1049" stopIfTrue="1" operator="between">
      <formula>0</formula>
      <formula>5</formula>
    </cfRule>
    <cfRule type="containsBlanks" dxfId="980" priority="1050" stopIfTrue="1">
      <formula>LEN(TRIM(E85))=0</formula>
    </cfRule>
  </conditionalFormatting>
  <conditionalFormatting sqref="E79:P84">
    <cfRule type="containsBlanks" dxfId="979" priority="1051" stopIfTrue="1">
      <formula>LEN(TRIM(E79))=0</formula>
    </cfRule>
    <cfRule type="cellIs" dxfId="978" priority="1052" stopIfTrue="1" operator="between">
      <formula>80.1</formula>
      <formula>100</formula>
    </cfRule>
    <cfRule type="cellIs" dxfId="977" priority="1053" stopIfTrue="1" operator="between">
      <formula>35.1</formula>
      <formula>80</formula>
    </cfRule>
    <cfRule type="cellIs" dxfId="976" priority="1054" stopIfTrue="1" operator="between">
      <formula>14.1</formula>
      <formula>35</formula>
    </cfRule>
    <cfRule type="cellIs" dxfId="975" priority="1055" stopIfTrue="1" operator="between">
      <formula>5.1</formula>
      <formula>14</formula>
    </cfRule>
    <cfRule type="cellIs" dxfId="974" priority="1056" stopIfTrue="1" operator="between">
      <formula>0</formula>
      <formula>5</formula>
    </cfRule>
    <cfRule type="containsBlanks" dxfId="973" priority="1057" stopIfTrue="1">
      <formula>LEN(TRIM(E79))=0</formula>
    </cfRule>
  </conditionalFormatting>
  <conditionalFormatting sqref="E150:P150">
    <cfRule type="containsBlanks" dxfId="972" priority="833" stopIfTrue="1">
      <formula>LEN(TRIM(E150))=0</formula>
    </cfRule>
    <cfRule type="cellIs" dxfId="971" priority="834" stopIfTrue="1" operator="between">
      <formula>80.1</formula>
      <formula>100</formula>
    </cfRule>
    <cfRule type="cellIs" dxfId="970" priority="835" stopIfTrue="1" operator="between">
      <formula>35.1</formula>
      <formula>80</formula>
    </cfRule>
    <cfRule type="cellIs" dxfId="969" priority="836" stopIfTrue="1" operator="between">
      <formula>14.1</formula>
      <formula>35</formula>
    </cfRule>
    <cfRule type="cellIs" dxfId="968" priority="837" stopIfTrue="1" operator="between">
      <formula>5.1</formula>
      <formula>14</formula>
    </cfRule>
    <cfRule type="cellIs" dxfId="967" priority="838" stopIfTrue="1" operator="between">
      <formula>0</formula>
      <formula>5</formula>
    </cfRule>
    <cfRule type="containsBlanks" dxfId="966" priority="839" stopIfTrue="1">
      <formula>LEN(TRIM(E150))=0</formula>
    </cfRule>
  </conditionalFormatting>
  <conditionalFormatting sqref="R89">
    <cfRule type="cellIs" dxfId="965" priority="1043" stopIfTrue="1" operator="equal">
      <formula>"NO"</formula>
    </cfRule>
  </conditionalFormatting>
  <conditionalFormatting sqref="S89">
    <cfRule type="cellIs" dxfId="964" priority="1042" stopIfTrue="1" operator="equal">
      <formula>"INVIABLE SANITARIAMENTE"</formula>
    </cfRule>
  </conditionalFormatting>
  <conditionalFormatting sqref="E89:Q89">
    <cfRule type="containsBlanks" dxfId="963" priority="1035" stopIfTrue="1">
      <formula>LEN(TRIM(E89))=0</formula>
    </cfRule>
    <cfRule type="cellIs" dxfId="962" priority="1036" stopIfTrue="1" operator="between">
      <formula>80.1</formula>
      <formula>100</formula>
    </cfRule>
    <cfRule type="cellIs" dxfId="961" priority="1037" stopIfTrue="1" operator="between">
      <formula>35.1</formula>
      <formula>80</formula>
    </cfRule>
    <cfRule type="cellIs" dxfId="960" priority="1038" stopIfTrue="1" operator="between">
      <formula>14.1</formula>
      <formula>35</formula>
    </cfRule>
    <cfRule type="cellIs" dxfId="959" priority="1039" stopIfTrue="1" operator="between">
      <formula>5.1</formula>
      <formula>14</formula>
    </cfRule>
    <cfRule type="cellIs" dxfId="958" priority="1040" stopIfTrue="1" operator="between">
      <formula>0</formula>
      <formula>5</formula>
    </cfRule>
    <cfRule type="containsBlanks" dxfId="957" priority="1041" stopIfTrue="1">
      <formula>LEN(TRIM(E89))=0</formula>
    </cfRule>
  </conditionalFormatting>
  <conditionalFormatting sqref="S89">
    <cfRule type="containsText" dxfId="956" priority="1030" stopIfTrue="1" operator="containsText" text="INVIABLE SANITARIAMENTE">
      <formula>NOT(ISERROR(SEARCH("INVIABLE SANITARIAMENTE",S89)))</formula>
    </cfRule>
    <cfRule type="containsText" dxfId="955" priority="1031" stopIfTrue="1" operator="containsText" text="ALTO">
      <formula>NOT(ISERROR(SEARCH("ALTO",S89)))</formula>
    </cfRule>
    <cfRule type="containsText" dxfId="954" priority="1032" stopIfTrue="1" operator="containsText" text="MEDIO">
      <formula>NOT(ISERROR(SEARCH("MEDIO",S89)))</formula>
    </cfRule>
    <cfRule type="containsText" dxfId="953" priority="1033" stopIfTrue="1" operator="containsText" text="BAJO">
      <formula>NOT(ISERROR(SEARCH("BAJO",S89)))</formula>
    </cfRule>
    <cfRule type="containsText" dxfId="952" priority="1034" stopIfTrue="1" operator="containsText" text="SIN RIESGO">
      <formula>NOT(ISERROR(SEARCH("SIN RIESGO",S89)))</formula>
    </cfRule>
  </conditionalFormatting>
  <conditionalFormatting sqref="S89">
    <cfRule type="containsText" dxfId="951" priority="1029" stopIfTrue="1" operator="containsText" text="SIN RIESGO">
      <formula>NOT(ISERROR(SEARCH("SIN RIESGO",S89)))</formula>
    </cfRule>
  </conditionalFormatting>
  <conditionalFormatting sqref="E60:P63">
    <cfRule type="containsBlanks" dxfId="950" priority="1022" stopIfTrue="1">
      <formula>LEN(TRIM(E60))=0</formula>
    </cfRule>
    <cfRule type="cellIs" dxfId="949" priority="1023" stopIfTrue="1" operator="between">
      <formula>80.1</formula>
      <formula>100</formula>
    </cfRule>
    <cfRule type="cellIs" dxfId="948" priority="1024" stopIfTrue="1" operator="between">
      <formula>35.1</formula>
      <formula>80</formula>
    </cfRule>
    <cfRule type="cellIs" dxfId="947" priority="1025" stopIfTrue="1" operator="between">
      <formula>14.1</formula>
      <formula>35</formula>
    </cfRule>
    <cfRule type="cellIs" dxfId="946" priority="1026" stopIfTrue="1" operator="between">
      <formula>5.1</formula>
      <formula>14</formula>
    </cfRule>
    <cfRule type="cellIs" dxfId="945" priority="1027" stopIfTrue="1" operator="between">
      <formula>0</formula>
      <formula>5</formula>
    </cfRule>
    <cfRule type="containsBlanks" dxfId="944" priority="1028" stopIfTrue="1">
      <formula>LEN(TRIM(E60))=0</formula>
    </cfRule>
  </conditionalFormatting>
  <conditionalFormatting sqref="E66:P66">
    <cfRule type="containsBlanks" dxfId="943" priority="1015" stopIfTrue="1">
      <formula>LEN(TRIM(E66))=0</formula>
    </cfRule>
    <cfRule type="cellIs" dxfId="942" priority="1016" stopIfTrue="1" operator="between">
      <formula>80.1</formula>
      <formula>100</formula>
    </cfRule>
    <cfRule type="cellIs" dxfId="941" priority="1017" stopIfTrue="1" operator="between">
      <formula>35.1</formula>
      <formula>80</formula>
    </cfRule>
    <cfRule type="cellIs" dxfId="940" priority="1018" stopIfTrue="1" operator="between">
      <formula>14.1</formula>
      <formula>35</formula>
    </cfRule>
    <cfRule type="cellIs" dxfId="939" priority="1019" stopIfTrue="1" operator="between">
      <formula>5.1</formula>
      <formula>14</formula>
    </cfRule>
    <cfRule type="cellIs" dxfId="938" priority="1020" stopIfTrue="1" operator="between">
      <formula>0</formula>
      <formula>5</formula>
    </cfRule>
    <cfRule type="containsBlanks" dxfId="937" priority="1021" stopIfTrue="1">
      <formula>LEN(TRIM(E66))=0</formula>
    </cfRule>
  </conditionalFormatting>
  <conditionalFormatting sqref="E262:P265">
    <cfRule type="containsBlanks" dxfId="936" priority="762" stopIfTrue="1">
      <formula>LEN(TRIM(E262))=0</formula>
    </cfRule>
    <cfRule type="cellIs" dxfId="935" priority="763" stopIfTrue="1" operator="between">
      <formula>80.1</formula>
      <formula>100</formula>
    </cfRule>
    <cfRule type="cellIs" dxfId="934" priority="764" stopIfTrue="1" operator="between">
      <formula>35.1</formula>
      <formula>80</formula>
    </cfRule>
    <cfRule type="cellIs" dxfId="933" priority="765" stopIfTrue="1" operator="between">
      <formula>14.1</formula>
      <formula>35</formula>
    </cfRule>
    <cfRule type="cellIs" dxfId="932" priority="766" stopIfTrue="1" operator="between">
      <formula>5.1</formula>
      <formula>14</formula>
    </cfRule>
    <cfRule type="cellIs" dxfId="931" priority="767" stopIfTrue="1" operator="between">
      <formula>0</formula>
      <formula>5</formula>
    </cfRule>
    <cfRule type="containsBlanks" dxfId="930" priority="768" stopIfTrue="1">
      <formula>LEN(TRIM(E262))=0</formula>
    </cfRule>
  </conditionalFormatting>
  <conditionalFormatting sqref="E126:P148">
    <cfRule type="containsBlanks" dxfId="929" priority="861" stopIfTrue="1">
      <formula>LEN(TRIM(E126))=0</formula>
    </cfRule>
    <cfRule type="cellIs" dxfId="928" priority="862" stopIfTrue="1" operator="between">
      <formula>80.1</formula>
      <formula>100</formula>
    </cfRule>
    <cfRule type="cellIs" dxfId="927" priority="863" stopIfTrue="1" operator="between">
      <formula>35.1</formula>
      <formula>80</formula>
    </cfRule>
    <cfRule type="cellIs" dxfId="926" priority="864" stopIfTrue="1" operator="between">
      <formula>14.1</formula>
      <formula>35</formula>
    </cfRule>
    <cfRule type="cellIs" dxfId="925" priority="865" stopIfTrue="1" operator="between">
      <formula>5.1</formula>
      <formula>14</formula>
    </cfRule>
    <cfRule type="cellIs" dxfId="924" priority="866" stopIfTrue="1" operator="between">
      <formula>0</formula>
      <formula>5</formula>
    </cfRule>
    <cfRule type="containsBlanks" dxfId="923" priority="867" stopIfTrue="1">
      <formula>LEN(TRIM(E126))=0</formula>
    </cfRule>
  </conditionalFormatting>
  <conditionalFormatting sqref="E67:P67">
    <cfRule type="containsBlanks" dxfId="922" priority="994" stopIfTrue="1">
      <formula>LEN(TRIM(E67))=0</formula>
    </cfRule>
    <cfRule type="cellIs" dxfId="921" priority="995" stopIfTrue="1" operator="between">
      <formula>80.1</formula>
      <formula>100</formula>
    </cfRule>
    <cfRule type="cellIs" dxfId="920" priority="996" stopIfTrue="1" operator="between">
      <formula>35.1</formula>
      <formula>80</formula>
    </cfRule>
    <cfRule type="cellIs" dxfId="919" priority="997" stopIfTrue="1" operator="between">
      <formula>14.1</formula>
      <formula>35</formula>
    </cfRule>
    <cfRule type="cellIs" dxfId="918" priority="998" stopIfTrue="1" operator="between">
      <formula>5.1</formula>
      <formula>14</formula>
    </cfRule>
    <cfRule type="cellIs" dxfId="917" priority="999" stopIfTrue="1" operator="between">
      <formula>0</formula>
      <formula>5</formula>
    </cfRule>
    <cfRule type="containsBlanks" dxfId="916" priority="1000" stopIfTrue="1">
      <formula>LEN(TRIM(E67))=0</formula>
    </cfRule>
  </conditionalFormatting>
  <conditionalFormatting sqref="E68:P68">
    <cfRule type="containsBlanks" dxfId="915" priority="987" stopIfTrue="1">
      <formula>LEN(TRIM(E68))=0</formula>
    </cfRule>
    <cfRule type="cellIs" dxfId="914" priority="988" stopIfTrue="1" operator="between">
      <formula>80.1</formula>
      <formula>100</formula>
    </cfRule>
    <cfRule type="cellIs" dxfId="913" priority="989" stopIfTrue="1" operator="between">
      <formula>35.1</formula>
      <formula>80</formula>
    </cfRule>
    <cfRule type="cellIs" dxfId="912" priority="990" stopIfTrue="1" operator="between">
      <formula>14.1</formula>
      <formula>35</formula>
    </cfRule>
    <cfRule type="cellIs" dxfId="911" priority="991" stopIfTrue="1" operator="between">
      <formula>5.1</formula>
      <formula>14</formula>
    </cfRule>
    <cfRule type="cellIs" dxfId="910" priority="992" stopIfTrue="1" operator="between">
      <formula>0</formula>
      <formula>5</formula>
    </cfRule>
    <cfRule type="containsBlanks" dxfId="909" priority="993" stopIfTrue="1">
      <formula>LEN(TRIM(E68))=0</formula>
    </cfRule>
  </conditionalFormatting>
  <conditionalFormatting sqref="E69:P69">
    <cfRule type="containsBlanks" dxfId="908" priority="980" stopIfTrue="1">
      <formula>LEN(TRIM(E69))=0</formula>
    </cfRule>
    <cfRule type="cellIs" dxfId="907" priority="981" stopIfTrue="1" operator="between">
      <formula>80.1</formula>
      <formula>100</formula>
    </cfRule>
    <cfRule type="cellIs" dxfId="906" priority="982" stopIfTrue="1" operator="between">
      <formula>35.1</formula>
      <formula>80</formula>
    </cfRule>
    <cfRule type="cellIs" dxfId="905" priority="983" stopIfTrue="1" operator="between">
      <formula>14.1</formula>
      <formula>35</formula>
    </cfRule>
    <cfRule type="cellIs" dxfId="904" priority="984" stopIfTrue="1" operator="between">
      <formula>5.1</formula>
      <formula>14</formula>
    </cfRule>
    <cfRule type="cellIs" dxfId="903" priority="985" stopIfTrue="1" operator="between">
      <formula>0</formula>
      <formula>5</formula>
    </cfRule>
    <cfRule type="containsBlanks" dxfId="902" priority="986" stopIfTrue="1">
      <formula>LEN(TRIM(E69))=0</formula>
    </cfRule>
  </conditionalFormatting>
  <conditionalFormatting sqref="E65:P65">
    <cfRule type="containsBlanks" dxfId="901" priority="973" stopIfTrue="1">
      <formula>LEN(TRIM(E65))=0</formula>
    </cfRule>
    <cfRule type="cellIs" dxfId="900" priority="974" stopIfTrue="1" operator="between">
      <formula>80.1</formula>
      <formula>100</formula>
    </cfRule>
    <cfRule type="cellIs" dxfId="899" priority="975" stopIfTrue="1" operator="between">
      <formula>35.1</formula>
      <formula>80</formula>
    </cfRule>
    <cfRule type="cellIs" dxfId="898" priority="976" stopIfTrue="1" operator="between">
      <formula>14.1</formula>
      <formula>35</formula>
    </cfRule>
    <cfRule type="cellIs" dxfId="897" priority="977" stopIfTrue="1" operator="between">
      <formula>5.1</formula>
      <formula>14</formula>
    </cfRule>
    <cfRule type="cellIs" dxfId="896" priority="978" stopIfTrue="1" operator="between">
      <formula>0</formula>
      <formula>5</formula>
    </cfRule>
    <cfRule type="containsBlanks" dxfId="895" priority="979" stopIfTrue="1">
      <formula>LEN(TRIM(E65))=0</formula>
    </cfRule>
  </conditionalFormatting>
  <conditionalFormatting sqref="E90:P102">
    <cfRule type="containsBlanks" dxfId="894" priority="959" stopIfTrue="1">
      <formula>LEN(TRIM(E90))=0</formula>
    </cfRule>
    <cfRule type="cellIs" dxfId="893" priority="960" stopIfTrue="1" operator="between">
      <formula>80.1</formula>
      <formula>100</formula>
    </cfRule>
    <cfRule type="cellIs" dxfId="892" priority="961" stopIfTrue="1" operator="between">
      <formula>35.1</formula>
      <formula>80</formula>
    </cfRule>
    <cfRule type="cellIs" dxfId="891" priority="962" stopIfTrue="1" operator="between">
      <formula>14.1</formula>
      <formula>35</formula>
    </cfRule>
    <cfRule type="cellIs" dxfId="890" priority="963" stopIfTrue="1" operator="between">
      <formula>5.1</formula>
      <formula>14</formula>
    </cfRule>
    <cfRule type="cellIs" dxfId="889" priority="964" stopIfTrue="1" operator="between">
      <formula>0</formula>
      <formula>5</formula>
    </cfRule>
    <cfRule type="containsBlanks" dxfId="888" priority="965" stopIfTrue="1">
      <formula>LEN(TRIM(E90))=0</formula>
    </cfRule>
  </conditionalFormatting>
  <conditionalFormatting sqref="E551:P551">
    <cfRule type="containsBlanks" dxfId="887" priority="68" stopIfTrue="1">
      <formula>LEN(TRIM(E551))=0</formula>
    </cfRule>
    <cfRule type="cellIs" dxfId="886" priority="69" stopIfTrue="1" operator="between">
      <formula>80.1</formula>
      <formula>100</formula>
    </cfRule>
    <cfRule type="cellIs" dxfId="885" priority="70" stopIfTrue="1" operator="between">
      <formula>35.1</formula>
      <formula>80</formula>
    </cfRule>
    <cfRule type="cellIs" dxfId="884" priority="71" stopIfTrue="1" operator="between">
      <formula>14.1</formula>
      <formula>35</formula>
    </cfRule>
    <cfRule type="cellIs" dxfId="883" priority="72" stopIfTrue="1" operator="between">
      <formula>5.1</formula>
      <formula>14</formula>
    </cfRule>
    <cfRule type="cellIs" dxfId="882" priority="73" stopIfTrue="1" operator="between">
      <formula>0</formula>
      <formula>5</formula>
    </cfRule>
    <cfRule type="containsBlanks" dxfId="881" priority="74" stopIfTrue="1">
      <formula>LEN(TRIM(E551))=0</formula>
    </cfRule>
  </conditionalFormatting>
  <conditionalFormatting sqref="E64:P64">
    <cfRule type="containsBlanks" dxfId="880" priority="1" stopIfTrue="1">
      <formula>LEN(TRIM(E64))=0</formula>
    </cfRule>
    <cfRule type="cellIs" dxfId="879" priority="2" stopIfTrue="1" operator="between">
      <formula>80.1</formula>
      <formula>100</formula>
    </cfRule>
    <cfRule type="cellIs" dxfId="878" priority="3" stopIfTrue="1" operator="between">
      <formula>35.1</formula>
      <formula>80</formula>
    </cfRule>
    <cfRule type="cellIs" dxfId="877" priority="4" stopIfTrue="1" operator="between">
      <formula>14.1</formula>
      <formula>35</formula>
    </cfRule>
    <cfRule type="cellIs" dxfId="876" priority="5" stopIfTrue="1" operator="between">
      <formula>5.1</formula>
      <formula>14</formula>
    </cfRule>
    <cfRule type="cellIs" dxfId="875" priority="6" stopIfTrue="1" operator="between">
      <formula>0</formula>
      <formula>5</formula>
    </cfRule>
    <cfRule type="containsBlanks" dxfId="874" priority="7" stopIfTrue="1">
      <formula>LEN(TRIM(E64))=0</formula>
    </cfRule>
  </conditionalFormatting>
  <conditionalFormatting sqref="E103:P103">
    <cfRule type="containsBlanks" dxfId="873" priority="938" stopIfTrue="1">
      <formula>LEN(TRIM(E103))=0</formula>
    </cfRule>
    <cfRule type="cellIs" dxfId="872" priority="939" stopIfTrue="1" operator="between">
      <formula>80.1</formula>
      <formula>100</formula>
    </cfRule>
    <cfRule type="cellIs" dxfId="871" priority="940" stopIfTrue="1" operator="between">
      <formula>35.1</formula>
      <formula>80</formula>
    </cfRule>
    <cfRule type="cellIs" dxfId="870" priority="941" stopIfTrue="1" operator="between">
      <formula>14.1</formula>
      <formula>35</formula>
    </cfRule>
    <cfRule type="cellIs" dxfId="869" priority="942" stopIfTrue="1" operator="between">
      <formula>5.1</formula>
      <formula>14</formula>
    </cfRule>
    <cfRule type="cellIs" dxfId="868" priority="943" stopIfTrue="1" operator="between">
      <formula>0</formula>
      <formula>5</formula>
    </cfRule>
    <cfRule type="containsBlanks" dxfId="867" priority="944" stopIfTrue="1">
      <formula>LEN(TRIM(E103))=0</formula>
    </cfRule>
  </conditionalFormatting>
  <conditionalFormatting sqref="E104:P104">
    <cfRule type="containsBlanks" dxfId="866" priority="931" stopIfTrue="1">
      <formula>LEN(TRIM(E104))=0</formula>
    </cfRule>
    <cfRule type="cellIs" dxfId="865" priority="932" stopIfTrue="1" operator="between">
      <formula>80.1</formula>
      <formula>100</formula>
    </cfRule>
    <cfRule type="cellIs" dxfId="864" priority="933" stopIfTrue="1" operator="between">
      <formula>35.1</formula>
      <formula>80</formula>
    </cfRule>
    <cfRule type="cellIs" dxfId="863" priority="934" stopIfTrue="1" operator="between">
      <formula>14.1</formula>
      <formula>35</formula>
    </cfRule>
    <cfRule type="cellIs" dxfId="862" priority="935" stopIfTrue="1" operator="between">
      <formula>5.1</formula>
      <formula>14</formula>
    </cfRule>
    <cfRule type="cellIs" dxfId="861" priority="936" stopIfTrue="1" operator="between">
      <formula>0</formula>
      <formula>5</formula>
    </cfRule>
    <cfRule type="containsBlanks" dxfId="860" priority="937" stopIfTrue="1">
      <formula>LEN(TRIM(E104))=0</formula>
    </cfRule>
  </conditionalFormatting>
  <conditionalFormatting sqref="E105:P105">
    <cfRule type="containsBlanks" dxfId="859" priority="924" stopIfTrue="1">
      <formula>LEN(TRIM(E105))=0</formula>
    </cfRule>
    <cfRule type="cellIs" dxfId="858" priority="925" stopIfTrue="1" operator="between">
      <formula>80.1</formula>
      <formula>100</formula>
    </cfRule>
    <cfRule type="cellIs" dxfId="857" priority="926" stopIfTrue="1" operator="between">
      <formula>35.1</formula>
      <formula>80</formula>
    </cfRule>
    <cfRule type="cellIs" dxfId="856" priority="927" stopIfTrue="1" operator="between">
      <formula>14.1</formula>
      <formula>35</formula>
    </cfRule>
    <cfRule type="cellIs" dxfId="855" priority="928" stopIfTrue="1" operator="between">
      <formula>5.1</formula>
      <formula>14</formula>
    </cfRule>
    <cfRule type="cellIs" dxfId="854" priority="929" stopIfTrue="1" operator="between">
      <formula>0</formula>
      <formula>5</formula>
    </cfRule>
    <cfRule type="containsBlanks" dxfId="853" priority="930" stopIfTrue="1">
      <formula>LEN(TRIM(E105))=0</formula>
    </cfRule>
  </conditionalFormatting>
  <conditionalFormatting sqref="E106:P106">
    <cfRule type="containsBlanks" dxfId="852" priority="917" stopIfTrue="1">
      <formula>LEN(TRIM(E106))=0</formula>
    </cfRule>
    <cfRule type="cellIs" dxfId="851" priority="918" stopIfTrue="1" operator="between">
      <formula>80.1</formula>
      <formula>100</formula>
    </cfRule>
    <cfRule type="cellIs" dxfId="850" priority="919" stopIfTrue="1" operator="between">
      <formula>35.1</formula>
      <formula>80</formula>
    </cfRule>
    <cfRule type="cellIs" dxfId="849" priority="920" stopIfTrue="1" operator="between">
      <formula>14.1</formula>
      <formula>35</formula>
    </cfRule>
    <cfRule type="cellIs" dxfId="848" priority="921" stopIfTrue="1" operator="between">
      <formula>5.1</formula>
      <formula>14</formula>
    </cfRule>
    <cfRule type="cellIs" dxfId="847" priority="922" stopIfTrue="1" operator="between">
      <formula>0</formula>
      <formula>5</formula>
    </cfRule>
    <cfRule type="containsBlanks" dxfId="846" priority="923" stopIfTrue="1">
      <formula>LEN(TRIM(E106))=0</formula>
    </cfRule>
  </conditionalFormatting>
  <conditionalFormatting sqref="E107:P107">
    <cfRule type="containsBlanks" dxfId="845" priority="910" stopIfTrue="1">
      <formula>LEN(TRIM(E107))=0</formula>
    </cfRule>
    <cfRule type="cellIs" dxfId="844" priority="911" stopIfTrue="1" operator="between">
      <formula>80.1</formula>
      <formula>100</formula>
    </cfRule>
    <cfRule type="cellIs" dxfId="843" priority="912" stopIfTrue="1" operator="between">
      <formula>35.1</formula>
      <formula>80</formula>
    </cfRule>
    <cfRule type="cellIs" dxfId="842" priority="913" stopIfTrue="1" operator="between">
      <formula>14.1</formula>
      <formula>35</formula>
    </cfRule>
    <cfRule type="cellIs" dxfId="841" priority="914" stopIfTrue="1" operator="between">
      <formula>5.1</formula>
      <formula>14</formula>
    </cfRule>
    <cfRule type="cellIs" dxfId="840" priority="915" stopIfTrue="1" operator="between">
      <formula>0</formula>
      <formula>5</formula>
    </cfRule>
    <cfRule type="containsBlanks" dxfId="839" priority="916" stopIfTrue="1">
      <formula>LEN(TRIM(E107))=0</formula>
    </cfRule>
  </conditionalFormatting>
  <conditionalFormatting sqref="E110:P110">
    <cfRule type="containsBlanks" dxfId="838" priority="903" stopIfTrue="1">
      <formula>LEN(TRIM(E110))=0</formula>
    </cfRule>
    <cfRule type="cellIs" dxfId="837" priority="904" stopIfTrue="1" operator="between">
      <formula>80.1</formula>
      <formula>100</formula>
    </cfRule>
    <cfRule type="cellIs" dxfId="836" priority="905" stopIfTrue="1" operator="between">
      <formula>35.1</formula>
      <formula>80</formula>
    </cfRule>
    <cfRule type="cellIs" dxfId="835" priority="906" stopIfTrue="1" operator="between">
      <formula>14.1</formula>
      <formula>35</formula>
    </cfRule>
    <cfRule type="cellIs" dxfId="834" priority="907" stopIfTrue="1" operator="between">
      <formula>5.1</formula>
      <formula>14</formula>
    </cfRule>
    <cfRule type="cellIs" dxfId="833" priority="908" stopIfTrue="1" operator="between">
      <formula>0</formula>
      <formula>5</formula>
    </cfRule>
    <cfRule type="containsBlanks" dxfId="832" priority="909" stopIfTrue="1">
      <formula>LEN(TRIM(E110))=0</formula>
    </cfRule>
  </conditionalFormatting>
  <conditionalFormatting sqref="E111:P113">
    <cfRule type="containsBlanks" dxfId="831" priority="889" stopIfTrue="1">
      <formula>LEN(TRIM(E111))=0</formula>
    </cfRule>
    <cfRule type="cellIs" dxfId="830" priority="890" stopIfTrue="1" operator="between">
      <formula>80.1</formula>
      <formula>100</formula>
    </cfRule>
    <cfRule type="cellIs" dxfId="829" priority="891" stopIfTrue="1" operator="between">
      <formula>35.1</formula>
      <formula>80</formula>
    </cfRule>
    <cfRule type="cellIs" dxfId="828" priority="892" stopIfTrue="1" operator="between">
      <formula>14.1</formula>
      <formula>35</formula>
    </cfRule>
    <cfRule type="cellIs" dxfId="827" priority="893" stopIfTrue="1" operator="between">
      <formula>5.1</formula>
      <formula>14</formula>
    </cfRule>
    <cfRule type="cellIs" dxfId="826" priority="894" stopIfTrue="1" operator="between">
      <formula>0</formula>
      <formula>5</formula>
    </cfRule>
    <cfRule type="containsBlanks" dxfId="825" priority="895" stopIfTrue="1">
      <formula>LEN(TRIM(E111))=0</formula>
    </cfRule>
  </conditionalFormatting>
  <conditionalFormatting sqref="E114:P116">
    <cfRule type="containsBlanks" dxfId="824" priority="882" stopIfTrue="1">
      <formula>LEN(TRIM(E114))=0</formula>
    </cfRule>
    <cfRule type="cellIs" dxfId="823" priority="883" stopIfTrue="1" operator="between">
      <formula>80.1</formula>
      <formula>100</formula>
    </cfRule>
    <cfRule type="cellIs" dxfId="822" priority="884" stopIfTrue="1" operator="between">
      <formula>35.1</formula>
      <formula>80</formula>
    </cfRule>
    <cfRule type="cellIs" dxfId="821" priority="885" stopIfTrue="1" operator="between">
      <formula>14.1</formula>
      <formula>35</formula>
    </cfRule>
    <cfRule type="cellIs" dxfId="820" priority="886" stopIfTrue="1" operator="between">
      <formula>5.1</formula>
      <formula>14</formula>
    </cfRule>
    <cfRule type="cellIs" dxfId="819" priority="887" stopIfTrue="1" operator="between">
      <formula>0</formula>
      <formula>5</formula>
    </cfRule>
    <cfRule type="containsBlanks" dxfId="818" priority="888" stopIfTrue="1">
      <formula>LEN(TRIM(E114))=0</formula>
    </cfRule>
  </conditionalFormatting>
  <conditionalFormatting sqref="E117:P120">
    <cfRule type="containsBlanks" dxfId="817" priority="875" stopIfTrue="1">
      <formula>LEN(TRIM(E117))=0</formula>
    </cfRule>
    <cfRule type="cellIs" dxfId="816" priority="876" stopIfTrue="1" operator="between">
      <formula>80.1</formula>
      <formula>100</formula>
    </cfRule>
    <cfRule type="cellIs" dxfId="815" priority="877" stopIfTrue="1" operator="between">
      <formula>35.1</formula>
      <formula>80</formula>
    </cfRule>
    <cfRule type="cellIs" dxfId="814" priority="878" stopIfTrue="1" operator="between">
      <formula>14.1</formula>
      <formula>35</formula>
    </cfRule>
    <cfRule type="cellIs" dxfId="813" priority="879" stopIfTrue="1" operator="between">
      <formula>5.1</formula>
      <formula>14</formula>
    </cfRule>
    <cfRule type="cellIs" dxfId="812" priority="880" stopIfTrue="1" operator="between">
      <formula>0</formula>
      <formula>5</formula>
    </cfRule>
    <cfRule type="containsBlanks" dxfId="811" priority="881" stopIfTrue="1">
      <formula>LEN(TRIM(E117))=0</formula>
    </cfRule>
  </conditionalFormatting>
  <conditionalFormatting sqref="E121:P125">
    <cfRule type="containsBlanks" dxfId="810" priority="868" stopIfTrue="1">
      <formula>LEN(TRIM(E121))=0</formula>
    </cfRule>
    <cfRule type="cellIs" dxfId="809" priority="869" stopIfTrue="1" operator="between">
      <formula>80.1</formula>
      <formula>100</formula>
    </cfRule>
    <cfRule type="cellIs" dxfId="808" priority="870" stopIfTrue="1" operator="between">
      <formula>35.1</formula>
      <formula>80</formula>
    </cfRule>
    <cfRule type="cellIs" dxfId="807" priority="871" stopIfTrue="1" operator="between">
      <formula>14.1</formula>
      <formula>35</formula>
    </cfRule>
    <cfRule type="cellIs" dxfId="806" priority="872" stopIfTrue="1" operator="between">
      <formula>5.1</formula>
      <formula>14</formula>
    </cfRule>
    <cfRule type="cellIs" dxfId="805" priority="873" stopIfTrue="1" operator="between">
      <formula>0</formula>
      <formula>5</formula>
    </cfRule>
    <cfRule type="containsBlanks" dxfId="804" priority="874" stopIfTrue="1">
      <formula>LEN(TRIM(E121))=0</formula>
    </cfRule>
  </conditionalFormatting>
  <conditionalFormatting sqref="E169:P169">
    <cfRule type="containsBlanks" dxfId="803" priority="790" stopIfTrue="1">
      <formula>LEN(TRIM(E169))=0</formula>
    </cfRule>
    <cfRule type="cellIs" dxfId="802" priority="791" stopIfTrue="1" operator="between">
      <formula>80.1</formula>
      <formula>100</formula>
    </cfRule>
    <cfRule type="cellIs" dxfId="801" priority="792" stopIfTrue="1" operator="between">
      <formula>35.1</formula>
      <formula>80</formula>
    </cfRule>
    <cfRule type="cellIs" dxfId="800" priority="793" stopIfTrue="1" operator="between">
      <formula>14.1</formula>
      <formula>35</formula>
    </cfRule>
    <cfRule type="cellIs" dxfId="799" priority="794" stopIfTrue="1" operator="between">
      <formula>5.1</formula>
      <formula>14</formula>
    </cfRule>
    <cfRule type="cellIs" dxfId="798" priority="795" stopIfTrue="1" operator="between">
      <formula>0</formula>
      <formula>5</formula>
    </cfRule>
    <cfRule type="containsBlanks" dxfId="797" priority="796" stopIfTrue="1">
      <formula>LEN(TRIM(E169))=0</formula>
    </cfRule>
  </conditionalFormatting>
  <conditionalFormatting sqref="E149:P149">
    <cfRule type="containsBlanks" dxfId="796" priority="854" stopIfTrue="1">
      <formula>LEN(TRIM(E149))=0</formula>
    </cfRule>
    <cfRule type="cellIs" dxfId="795" priority="855" stopIfTrue="1" operator="between">
      <formula>80.1</formula>
      <formula>100</formula>
    </cfRule>
    <cfRule type="cellIs" dxfId="794" priority="856" stopIfTrue="1" operator="between">
      <formula>35.1</formula>
      <formula>80</formula>
    </cfRule>
    <cfRule type="cellIs" dxfId="793" priority="857" stopIfTrue="1" operator="between">
      <formula>14.1</formula>
      <formula>35</formula>
    </cfRule>
    <cfRule type="cellIs" dxfId="792" priority="858" stopIfTrue="1" operator="between">
      <formula>5.1</formula>
      <formula>14</formula>
    </cfRule>
    <cfRule type="cellIs" dxfId="791" priority="859" stopIfTrue="1" operator="between">
      <formula>0</formula>
      <formula>5</formula>
    </cfRule>
    <cfRule type="containsBlanks" dxfId="790" priority="860" stopIfTrue="1">
      <formula>LEN(TRIM(E149))=0</formula>
    </cfRule>
  </conditionalFormatting>
  <conditionalFormatting sqref="E152:P152">
    <cfRule type="containsBlanks" dxfId="789" priority="847" stopIfTrue="1">
      <formula>LEN(TRIM(E152))=0</formula>
    </cfRule>
    <cfRule type="cellIs" dxfId="788" priority="848" stopIfTrue="1" operator="between">
      <formula>80.1</formula>
      <formula>100</formula>
    </cfRule>
    <cfRule type="cellIs" dxfId="787" priority="849" stopIfTrue="1" operator="between">
      <formula>35.1</formula>
      <formula>80</formula>
    </cfRule>
    <cfRule type="cellIs" dxfId="786" priority="850" stopIfTrue="1" operator="between">
      <formula>14.1</formula>
      <formula>35</formula>
    </cfRule>
    <cfRule type="cellIs" dxfId="785" priority="851" stopIfTrue="1" operator="between">
      <formula>5.1</formula>
      <formula>14</formula>
    </cfRule>
    <cfRule type="cellIs" dxfId="784" priority="852" stopIfTrue="1" operator="between">
      <formula>0</formula>
      <formula>5</formula>
    </cfRule>
    <cfRule type="containsBlanks" dxfId="783" priority="853" stopIfTrue="1">
      <formula>LEN(TRIM(E152))=0</formula>
    </cfRule>
  </conditionalFormatting>
  <conditionalFormatting sqref="E151:P151">
    <cfRule type="containsBlanks" dxfId="782" priority="840" stopIfTrue="1">
      <formula>LEN(TRIM(E151))=0</formula>
    </cfRule>
    <cfRule type="cellIs" dxfId="781" priority="841" stopIfTrue="1" operator="between">
      <formula>80.1</formula>
      <formula>100</formula>
    </cfRule>
    <cfRule type="cellIs" dxfId="780" priority="842" stopIfTrue="1" operator="between">
      <formula>35.1</formula>
      <formula>80</formula>
    </cfRule>
    <cfRule type="cellIs" dxfId="779" priority="843" stopIfTrue="1" operator="between">
      <formula>14.1</formula>
      <formula>35</formula>
    </cfRule>
    <cfRule type="cellIs" dxfId="778" priority="844" stopIfTrue="1" operator="between">
      <formula>5.1</formula>
      <formula>14</formula>
    </cfRule>
    <cfRule type="cellIs" dxfId="777" priority="845" stopIfTrue="1" operator="between">
      <formula>0</formula>
      <formula>5</formula>
    </cfRule>
    <cfRule type="containsBlanks" dxfId="776" priority="846" stopIfTrue="1">
      <formula>LEN(TRIM(E151))=0</formula>
    </cfRule>
  </conditionalFormatting>
  <conditionalFormatting sqref="R153">
    <cfRule type="cellIs" dxfId="775" priority="832" stopIfTrue="1" operator="equal">
      <formula>"NO"</formula>
    </cfRule>
  </conditionalFormatting>
  <conditionalFormatting sqref="S153">
    <cfRule type="cellIs" dxfId="774" priority="831" stopIfTrue="1" operator="equal">
      <formula>"INVIABLE SANITARIAMENTE"</formula>
    </cfRule>
  </conditionalFormatting>
  <conditionalFormatting sqref="E153:Q153">
    <cfRule type="containsBlanks" dxfId="773" priority="824" stopIfTrue="1">
      <formula>LEN(TRIM(E153))=0</formula>
    </cfRule>
    <cfRule type="cellIs" dxfId="772" priority="825" stopIfTrue="1" operator="between">
      <formula>80.1</formula>
      <formula>100</formula>
    </cfRule>
    <cfRule type="cellIs" dxfId="771" priority="826" stopIfTrue="1" operator="between">
      <formula>35.1</formula>
      <formula>80</formula>
    </cfRule>
    <cfRule type="cellIs" dxfId="770" priority="827" stopIfTrue="1" operator="between">
      <formula>14.1</formula>
      <formula>35</formula>
    </cfRule>
    <cfRule type="cellIs" dxfId="769" priority="828" stopIfTrue="1" operator="between">
      <formula>5.1</formula>
      <formula>14</formula>
    </cfRule>
    <cfRule type="cellIs" dxfId="768" priority="829" stopIfTrue="1" operator="between">
      <formula>0</formula>
      <formula>5</formula>
    </cfRule>
    <cfRule type="containsBlanks" dxfId="767" priority="830" stopIfTrue="1">
      <formula>LEN(TRIM(E153))=0</formula>
    </cfRule>
  </conditionalFormatting>
  <conditionalFormatting sqref="S153">
    <cfRule type="containsText" dxfId="766" priority="819" stopIfTrue="1" operator="containsText" text="INVIABLE SANITARIAMENTE">
      <formula>NOT(ISERROR(SEARCH("INVIABLE SANITARIAMENTE",S153)))</formula>
    </cfRule>
    <cfRule type="containsText" dxfId="765" priority="820" stopIfTrue="1" operator="containsText" text="ALTO">
      <formula>NOT(ISERROR(SEARCH("ALTO",S153)))</formula>
    </cfRule>
    <cfRule type="containsText" dxfId="764" priority="821" stopIfTrue="1" operator="containsText" text="MEDIO">
      <formula>NOT(ISERROR(SEARCH("MEDIO",S153)))</formula>
    </cfRule>
    <cfRule type="containsText" dxfId="763" priority="822" stopIfTrue="1" operator="containsText" text="BAJO">
      <formula>NOT(ISERROR(SEARCH("BAJO",S153)))</formula>
    </cfRule>
    <cfRule type="containsText" dxfId="762" priority="823" stopIfTrue="1" operator="containsText" text="SIN RIESGO">
      <formula>NOT(ISERROR(SEARCH("SIN RIESGO",S153)))</formula>
    </cfRule>
  </conditionalFormatting>
  <conditionalFormatting sqref="S153">
    <cfRule type="containsText" dxfId="761" priority="818" stopIfTrue="1" operator="containsText" text="SIN RIESGO">
      <formula>NOT(ISERROR(SEARCH("SIN RIESGO",S153)))</formula>
    </cfRule>
  </conditionalFormatting>
  <conditionalFormatting sqref="E157:P157">
    <cfRule type="containsBlanks" dxfId="760" priority="811" stopIfTrue="1">
      <formula>LEN(TRIM(E157))=0</formula>
    </cfRule>
    <cfRule type="cellIs" dxfId="759" priority="812" stopIfTrue="1" operator="between">
      <formula>80.1</formula>
      <formula>100</formula>
    </cfRule>
    <cfRule type="cellIs" dxfId="758" priority="813" stopIfTrue="1" operator="between">
      <formula>35.1</formula>
      <formula>80</formula>
    </cfRule>
    <cfRule type="cellIs" dxfId="757" priority="814" stopIfTrue="1" operator="between">
      <formula>14.1</formula>
      <formula>35</formula>
    </cfRule>
    <cfRule type="cellIs" dxfId="756" priority="815" stopIfTrue="1" operator="between">
      <formula>5.1</formula>
      <formula>14</formula>
    </cfRule>
    <cfRule type="cellIs" dxfId="755" priority="816" stopIfTrue="1" operator="between">
      <formula>0</formula>
      <formula>5</formula>
    </cfRule>
    <cfRule type="containsBlanks" dxfId="754" priority="817" stopIfTrue="1">
      <formula>LEN(TRIM(E157))=0</formula>
    </cfRule>
  </conditionalFormatting>
  <conditionalFormatting sqref="E161:P164">
    <cfRule type="containsBlanks" dxfId="753" priority="804" stopIfTrue="1">
      <formula>LEN(TRIM(E161))=0</formula>
    </cfRule>
    <cfRule type="cellIs" dxfId="752" priority="805" stopIfTrue="1" operator="between">
      <formula>80.1</formula>
      <formula>100</formula>
    </cfRule>
    <cfRule type="cellIs" dxfId="751" priority="806" stopIfTrue="1" operator="between">
      <formula>35.1</formula>
      <formula>80</formula>
    </cfRule>
    <cfRule type="cellIs" dxfId="750" priority="807" stopIfTrue="1" operator="between">
      <formula>14.1</formula>
      <formula>35</formula>
    </cfRule>
    <cfRule type="cellIs" dxfId="749" priority="808" stopIfTrue="1" operator="between">
      <formula>5.1</formula>
      <formula>14</formula>
    </cfRule>
    <cfRule type="cellIs" dxfId="748" priority="809" stopIfTrue="1" operator="between">
      <formula>0</formula>
      <formula>5</formula>
    </cfRule>
    <cfRule type="containsBlanks" dxfId="747" priority="810" stopIfTrue="1">
      <formula>LEN(TRIM(E161))=0</formula>
    </cfRule>
  </conditionalFormatting>
  <conditionalFormatting sqref="E166:P166">
    <cfRule type="containsBlanks" dxfId="746" priority="797" stopIfTrue="1">
      <formula>LEN(TRIM(E166))=0</formula>
    </cfRule>
    <cfRule type="cellIs" dxfId="745" priority="798" stopIfTrue="1" operator="between">
      <formula>80.1</formula>
      <formula>100</formula>
    </cfRule>
    <cfRule type="cellIs" dxfId="744" priority="799" stopIfTrue="1" operator="between">
      <formula>35.1</formula>
      <formula>80</formula>
    </cfRule>
    <cfRule type="cellIs" dxfId="743" priority="800" stopIfTrue="1" operator="between">
      <formula>14.1</formula>
      <formula>35</formula>
    </cfRule>
    <cfRule type="cellIs" dxfId="742" priority="801" stopIfTrue="1" operator="between">
      <formula>5.1</formula>
      <formula>14</formula>
    </cfRule>
    <cfRule type="cellIs" dxfId="741" priority="802" stopIfTrue="1" operator="between">
      <formula>0</formula>
      <formula>5</formula>
    </cfRule>
    <cfRule type="containsBlanks" dxfId="740" priority="803" stopIfTrue="1">
      <formula>LEN(TRIM(E166))=0</formula>
    </cfRule>
  </conditionalFormatting>
  <conditionalFormatting sqref="E545:P546">
    <cfRule type="containsBlanks" dxfId="739" priority="96" stopIfTrue="1">
      <formula>LEN(TRIM(E545))=0</formula>
    </cfRule>
    <cfRule type="cellIs" dxfId="738" priority="97" stopIfTrue="1" operator="between">
      <formula>80.1</formula>
      <formula>100</formula>
    </cfRule>
    <cfRule type="cellIs" dxfId="737" priority="98" stopIfTrue="1" operator="between">
      <formula>35.1</formula>
      <formula>80</formula>
    </cfRule>
    <cfRule type="cellIs" dxfId="736" priority="99" stopIfTrue="1" operator="between">
      <formula>14.1</formula>
      <formula>35</formula>
    </cfRule>
    <cfRule type="cellIs" dxfId="735" priority="100" stopIfTrue="1" operator="between">
      <formula>5.1</formula>
      <formula>14</formula>
    </cfRule>
    <cfRule type="cellIs" dxfId="734" priority="101" stopIfTrue="1" operator="between">
      <formula>0</formula>
      <formula>5</formula>
    </cfRule>
    <cfRule type="containsBlanks" dxfId="733" priority="102" stopIfTrue="1">
      <formula>LEN(TRIM(E545))=0</formula>
    </cfRule>
  </conditionalFormatting>
  <conditionalFormatting sqref="E241:P247">
    <cfRule type="containsBlanks" dxfId="732" priority="783" stopIfTrue="1">
      <formula>LEN(TRIM(E241))=0</formula>
    </cfRule>
    <cfRule type="cellIs" dxfId="731" priority="784" stopIfTrue="1" operator="between">
      <formula>80.1</formula>
      <formula>100</formula>
    </cfRule>
    <cfRule type="cellIs" dxfId="730" priority="785" stopIfTrue="1" operator="between">
      <formula>35.1</formula>
      <formula>80</formula>
    </cfRule>
    <cfRule type="cellIs" dxfId="729" priority="786" stopIfTrue="1" operator="between">
      <formula>14.1</formula>
      <formula>35</formula>
    </cfRule>
    <cfRule type="cellIs" dxfId="728" priority="787" stopIfTrue="1" operator="between">
      <formula>5.1</formula>
      <formula>14</formula>
    </cfRule>
    <cfRule type="cellIs" dxfId="727" priority="788" stopIfTrue="1" operator="between">
      <formula>0</formula>
      <formula>5</formula>
    </cfRule>
    <cfRule type="containsBlanks" dxfId="726" priority="789" stopIfTrue="1">
      <formula>LEN(TRIM(E241))=0</formula>
    </cfRule>
  </conditionalFormatting>
  <conditionalFormatting sqref="G257:P257 E257:E260 H258:P258 G259:P260 E249:P256">
    <cfRule type="containsBlanks" dxfId="725" priority="776" stopIfTrue="1">
      <formula>LEN(TRIM(E249))=0</formula>
    </cfRule>
    <cfRule type="cellIs" dxfId="724" priority="777" stopIfTrue="1" operator="between">
      <formula>80.1</formula>
      <formula>100</formula>
    </cfRule>
    <cfRule type="cellIs" dxfId="723" priority="778" stopIfTrue="1" operator="between">
      <formula>35.1</formula>
      <formula>80</formula>
    </cfRule>
    <cfRule type="cellIs" dxfId="722" priority="779" stopIfTrue="1" operator="between">
      <formula>14.1</formula>
      <formula>35</formula>
    </cfRule>
    <cfRule type="cellIs" dxfId="721" priority="780" stopIfTrue="1" operator="between">
      <formula>5.1</formula>
      <formula>14</formula>
    </cfRule>
    <cfRule type="cellIs" dxfId="720" priority="781" stopIfTrue="1" operator="between">
      <formula>0</formula>
      <formula>5</formula>
    </cfRule>
    <cfRule type="containsBlanks" dxfId="719" priority="782" stopIfTrue="1">
      <formula>LEN(TRIM(E249))=0</formula>
    </cfRule>
  </conditionalFormatting>
  <conditionalFormatting sqref="F257:F260">
    <cfRule type="containsBlanks" dxfId="718" priority="769" stopIfTrue="1">
      <formula>LEN(TRIM(F257))=0</formula>
    </cfRule>
    <cfRule type="cellIs" dxfId="717" priority="770" stopIfTrue="1" operator="between">
      <formula>80.1</formula>
      <formula>100</formula>
    </cfRule>
    <cfRule type="cellIs" dxfId="716" priority="771" stopIfTrue="1" operator="between">
      <formula>35.1</formula>
      <formula>80</formula>
    </cfRule>
    <cfRule type="cellIs" dxfId="715" priority="772" stopIfTrue="1" operator="between">
      <formula>14.1</formula>
      <formula>35</formula>
    </cfRule>
    <cfRule type="cellIs" dxfId="714" priority="773" stopIfTrue="1" operator="between">
      <formula>5.1</formula>
      <formula>14</formula>
    </cfRule>
    <cfRule type="cellIs" dxfId="713" priority="774" stopIfTrue="1" operator="between">
      <formula>0</formula>
      <formula>5</formula>
    </cfRule>
    <cfRule type="containsBlanks" dxfId="712" priority="775" stopIfTrue="1">
      <formula>LEN(TRIM(F257))=0</formula>
    </cfRule>
  </conditionalFormatting>
  <conditionalFormatting sqref="R266:R269">
    <cfRule type="cellIs" dxfId="711" priority="761" stopIfTrue="1" operator="equal">
      <formula>"NO"</formula>
    </cfRule>
  </conditionalFormatting>
  <conditionalFormatting sqref="S266:S269">
    <cfRule type="cellIs" dxfId="710" priority="760" stopIfTrue="1" operator="equal">
      <formula>"INVIABLE SANITARIAMENTE"</formula>
    </cfRule>
  </conditionalFormatting>
  <conditionalFormatting sqref="E266:Q269">
    <cfRule type="containsBlanks" dxfId="709" priority="753" stopIfTrue="1">
      <formula>LEN(TRIM(E266))=0</formula>
    </cfRule>
    <cfRule type="cellIs" dxfId="708" priority="754" stopIfTrue="1" operator="between">
      <formula>80.1</formula>
      <formula>100</formula>
    </cfRule>
    <cfRule type="cellIs" dxfId="707" priority="755" stopIfTrue="1" operator="between">
      <formula>35.1</formula>
      <formula>80</formula>
    </cfRule>
    <cfRule type="cellIs" dxfId="706" priority="756" stopIfTrue="1" operator="between">
      <formula>14.1</formula>
      <formula>35</formula>
    </cfRule>
    <cfRule type="cellIs" dxfId="705" priority="757" stopIfTrue="1" operator="between">
      <formula>5.1</formula>
      <formula>14</formula>
    </cfRule>
    <cfRule type="cellIs" dxfId="704" priority="758" stopIfTrue="1" operator="between">
      <formula>0</formula>
      <formula>5</formula>
    </cfRule>
    <cfRule type="containsBlanks" dxfId="703" priority="759" stopIfTrue="1">
      <formula>LEN(TRIM(E266))=0</formula>
    </cfRule>
  </conditionalFormatting>
  <conditionalFormatting sqref="S266:S269">
    <cfRule type="containsText" dxfId="702" priority="748" stopIfTrue="1" operator="containsText" text="INVIABLE SANITARIAMENTE">
      <formula>NOT(ISERROR(SEARCH("INVIABLE SANITARIAMENTE",S266)))</formula>
    </cfRule>
    <cfRule type="containsText" dxfId="701" priority="749" stopIfTrue="1" operator="containsText" text="ALTO">
      <formula>NOT(ISERROR(SEARCH("ALTO",S266)))</formula>
    </cfRule>
    <cfRule type="containsText" dxfId="700" priority="750" stopIfTrue="1" operator="containsText" text="MEDIO">
      <formula>NOT(ISERROR(SEARCH("MEDIO",S266)))</formula>
    </cfRule>
    <cfRule type="containsText" dxfId="699" priority="751" stopIfTrue="1" operator="containsText" text="BAJO">
      <formula>NOT(ISERROR(SEARCH("BAJO",S266)))</formula>
    </cfRule>
    <cfRule type="containsText" dxfId="698" priority="752" stopIfTrue="1" operator="containsText" text="SIN RIESGO">
      <formula>NOT(ISERROR(SEARCH("SIN RIESGO",S266)))</formula>
    </cfRule>
  </conditionalFormatting>
  <conditionalFormatting sqref="S266:S269">
    <cfRule type="containsText" dxfId="697" priority="747" stopIfTrue="1" operator="containsText" text="SIN RIESGO">
      <formula>NOT(ISERROR(SEARCH("SIN RIESGO",S266)))</formula>
    </cfRule>
  </conditionalFormatting>
  <conditionalFormatting sqref="E329:F329 K329:P329">
    <cfRule type="containsBlanks" dxfId="696" priority="740" stopIfTrue="1">
      <formula>LEN(TRIM(E329))=0</formula>
    </cfRule>
    <cfRule type="cellIs" dxfId="695" priority="741" stopIfTrue="1" operator="between">
      <formula>80.1</formula>
      <formula>100</formula>
    </cfRule>
    <cfRule type="cellIs" dxfId="694" priority="742" stopIfTrue="1" operator="between">
      <formula>35.1</formula>
      <formula>80</formula>
    </cfRule>
    <cfRule type="cellIs" dxfId="693" priority="743" stopIfTrue="1" operator="between">
      <formula>14.1</formula>
      <formula>35</formula>
    </cfRule>
    <cfRule type="cellIs" dxfId="692" priority="744" stopIfTrue="1" operator="between">
      <formula>5.1</formula>
      <formula>14</formula>
    </cfRule>
    <cfRule type="cellIs" dxfId="691" priority="745" stopIfTrue="1" operator="between">
      <formula>0</formula>
      <formula>5</formula>
    </cfRule>
    <cfRule type="containsBlanks" dxfId="690" priority="746" stopIfTrue="1">
      <formula>LEN(TRIM(E329))=0</formula>
    </cfRule>
  </conditionalFormatting>
  <conditionalFormatting sqref="G329 I329:J329">
    <cfRule type="containsBlanks" dxfId="689" priority="733" stopIfTrue="1">
      <formula>LEN(TRIM(G329))=0</formula>
    </cfRule>
    <cfRule type="cellIs" dxfId="688" priority="734" stopIfTrue="1" operator="between">
      <formula>80.1</formula>
      <formula>100</formula>
    </cfRule>
    <cfRule type="cellIs" dxfId="687" priority="735" stopIfTrue="1" operator="between">
      <formula>35.1</formula>
      <formula>80</formula>
    </cfRule>
    <cfRule type="cellIs" dxfId="686" priority="736" stopIfTrue="1" operator="between">
      <formula>14.1</formula>
      <formula>35</formula>
    </cfRule>
    <cfRule type="cellIs" dxfId="685" priority="737" stopIfTrue="1" operator="between">
      <formula>5.1</formula>
      <formula>14</formula>
    </cfRule>
    <cfRule type="cellIs" dxfId="684" priority="738" stopIfTrue="1" operator="between">
      <formula>0</formula>
      <formula>5</formula>
    </cfRule>
    <cfRule type="containsBlanks" dxfId="683" priority="739" stopIfTrue="1">
      <formula>LEN(TRIM(G329))=0</formula>
    </cfRule>
  </conditionalFormatting>
  <conditionalFormatting sqref="H329">
    <cfRule type="containsBlanks" dxfId="682" priority="726" stopIfTrue="1">
      <formula>LEN(TRIM(H329))=0</formula>
    </cfRule>
    <cfRule type="cellIs" dxfId="681" priority="727" stopIfTrue="1" operator="between">
      <formula>80.1</formula>
      <formula>100</formula>
    </cfRule>
    <cfRule type="cellIs" dxfId="680" priority="728" stopIfTrue="1" operator="between">
      <formula>35.1</formula>
      <formula>80</formula>
    </cfRule>
    <cfRule type="cellIs" dxfId="679" priority="729" stopIfTrue="1" operator="between">
      <formula>14.1</formula>
      <formula>35</formula>
    </cfRule>
    <cfRule type="cellIs" dxfId="678" priority="730" stopIfTrue="1" operator="between">
      <formula>5.1</formula>
      <formula>14</formula>
    </cfRule>
    <cfRule type="cellIs" dxfId="677" priority="731" stopIfTrue="1" operator="between">
      <formula>0</formula>
      <formula>5</formula>
    </cfRule>
    <cfRule type="containsBlanks" dxfId="676" priority="732" stopIfTrue="1">
      <formula>LEN(TRIM(H329))=0</formula>
    </cfRule>
  </conditionalFormatting>
  <conditionalFormatting sqref="E331:O331 E332:N332 P332">
    <cfRule type="containsBlanks" dxfId="675" priority="719" stopIfTrue="1">
      <formula>LEN(TRIM(E331))=0</formula>
    </cfRule>
    <cfRule type="cellIs" dxfId="674" priority="720" stopIfTrue="1" operator="between">
      <formula>80.1</formula>
      <formula>100</formula>
    </cfRule>
    <cfRule type="cellIs" dxfId="673" priority="721" stopIfTrue="1" operator="between">
      <formula>35.1</formula>
      <formula>80</formula>
    </cfRule>
    <cfRule type="cellIs" dxfId="672" priority="722" stopIfTrue="1" operator="between">
      <formula>14.1</formula>
      <formula>35</formula>
    </cfRule>
    <cfRule type="cellIs" dxfId="671" priority="723" stopIfTrue="1" operator="between">
      <formula>5.1</formula>
      <formula>14</formula>
    </cfRule>
    <cfRule type="cellIs" dxfId="670" priority="724" stopIfTrue="1" operator="between">
      <formula>0</formula>
      <formula>5</formula>
    </cfRule>
    <cfRule type="containsBlanks" dxfId="669" priority="725" stopIfTrue="1">
      <formula>LEN(TRIM(E331))=0</formula>
    </cfRule>
  </conditionalFormatting>
  <conditionalFormatting sqref="O332">
    <cfRule type="containsBlanks" dxfId="668" priority="712" stopIfTrue="1">
      <formula>LEN(TRIM(O332))=0</formula>
    </cfRule>
    <cfRule type="cellIs" dxfId="667" priority="713" stopIfTrue="1" operator="between">
      <formula>80.1</formula>
      <formula>100</formula>
    </cfRule>
    <cfRule type="cellIs" dxfId="666" priority="714" stopIfTrue="1" operator="between">
      <formula>35.1</formula>
      <formula>80</formula>
    </cfRule>
    <cfRule type="cellIs" dxfId="665" priority="715" stopIfTrue="1" operator="between">
      <formula>14.1</formula>
      <formula>35</formula>
    </cfRule>
    <cfRule type="cellIs" dxfId="664" priority="716" stopIfTrue="1" operator="between">
      <formula>5.1</formula>
      <formula>14</formula>
    </cfRule>
    <cfRule type="cellIs" dxfId="663" priority="717" stopIfTrue="1" operator="between">
      <formula>0</formula>
      <formula>5</formula>
    </cfRule>
    <cfRule type="containsBlanks" dxfId="662" priority="718" stopIfTrue="1">
      <formula>LEN(TRIM(O332))=0</formula>
    </cfRule>
  </conditionalFormatting>
  <conditionalFormatting sqref="P331">
    <cfRule type="containsBlanks" dxfId="661" priority="705" stopIfTrue="1">
      <formula>LEN(TRIM(P331))=0</formula>
    </cfRule>
    <cfRule type="cellIs" dxfId="660" priority="706" stopIfTrue="1" operator="between">
      <formula>80.1</formula>
      <formula>100</formula>
    </cfRule>
    <cfRule type="cellIs" dxfId="659" priority="707" stopIfTrue="1" operator="between">
      <formula>35.1</formula>
      <formula>80</formula>
    </cfRule>
    <cfRule type="cellIs" dxfId="658" priority="708" stopIfTrue="1" operator="between">
      <formula>14.1</formula>
      <formula>35</formula>
    </cfRule>
    <cfRule type="cellIs" dxfId="657" priority="709" stopIfTrue="1" operator="between">
      <formula>5.1</formula>
      <formula>14</formula>
    </cfRule>
    <cfRule type="cellIs" dxfId="656" priority="710" stopIfTrue="1" operator="between">
      <formula>0</formula>
      <formula>5</formula>
    </cfRule>
    <cfRule type="containsBlanks" dxfId="655" priority="711" stopIfTrue="1">
      <formula>LEN(TRIM(P331))=0</formula>
    </cfRule>
  </conditionalFormatting>
  <conditionalFormatting sqref="E335:P335">
    <cfRule type="containsBlanks" dxfId="654" priority="698" stopIfTrue="1">
      <formula>LEN(TRIM(E335))=0</formula>
    </cfRule>
  </conditionalFormatting>
  <conditionalFormatting sqref="E335:P335">
    <cfRule type="cellIs" dxfId="653" priority="699" stopIfTrue="1" operator="between">
      <formula>80.1</formula>
      <formula>100</formula>
    </cfRule>
  </conditionalFormatting>
  <conditionalFormatting sqref="E335:P335">
    <cfRule type="cellIs" dxfId="652" priority="700" stopIfTrue="1" operator="between">
      <formula>35.1</formula>
      <formula>80</formula>
    </cfRule>
  </conditionalFormatting>
  <conditionalFormatting sqref="E335:P335">
    <cfRule type="cellIs" dxfId="651" priority="701" stopIfTrue="1" operator="between">
      <formula>14.1</formula>
      <formula>35</formula>
    </cfRule>
  </conditionalFormatting>
  <conditionalFormatting sqref="E335:P335">
    <cfRule type="cellIs" dxfId="650" priority="702" stopIfTrue="1" operator="between">
      <formula>5.1</formula>
      <formula>14</formula>
    </cfRule>
  </conditionalFormatting>
  <conditionalFormatting sqref="E335:P335">
    <cfRule type="cellIs" dxfId="649" priority="703" stopIfTrue="1" operator="between">
      <formula>0</formula>
      <formula>5</formula>
    </cfRule>
  </conditionalFormatting>
  <conditionalFormatting sqref="E335:P335">
    <cfRule type="containsBlanks" dxfId="648" priority="704" stopIfTrue="1">
      <formula>LEN(TRIM(E335))=0</formula>
    </cfRule>
  </conditionalFormatting>
  <conditionalFormatting sqref="E337:P343">
    <cfRule type="containsBlanks" dxfId="647" priority="691" stopIfTrue="1">
      <formula>LEN(TRIM(E337))=0</formula>
    </cfRule>
  </conditionalFormatting>
  <conditionalFormatting sqref="E337:P343">
    <cfRule type="cellIs" dxfId="646" priority="692" stopIfTrue="1" operator="between">
      <formula>80.1</formula>
      <formula>100</formula>
    </cfRule>
  </conditionalFormatting>
  <conditionalFormatting sqref="E337:P343">
    <cfRule type="cellIs" dxfId="645" priority="693" stopIfTrue="1" operator="between">
      <formula>35.1</formula>
      <formula>80</formula>
    </cfRule>
  </conditionalFormatting>
  <conditionalFormatting sqref="E337:P343">
    <cfRule type="cellIs" dxfId="644" priority="694" stopIfTrue="1" operator="between">
      <formula>14.1</formula>
      <formula>35</formula>
    </cfRule>
  </conditionalFormatting>
  <conditionalFormatting sqref="E337:P343">
    <cfRule type="cellIs" dxfId="643" priority="695" stopIfTrue="1" operator="between">
      <formula>5.1</formula>
      <formula>14</formula>
    </cfRule>
  </conditionalFormatting>
  <conditionalFormatting sqref="E337:P343">
    <cfRule type="cellIs" dxfId="642" priority="696" stopIfTrue="1" operator="between">
      <formula>0</formula>
      <formula>5</formula>
    </cfRule>
  </conditionalFormatting>
  <conditionalFormatting sqref="E337:P343">
    <cfRule type="containsBlanks" dxfId="641" priority="697" stopIfTrue="1">
      <formula>LEN(TRIM(E337))=0</formula>
    </cfRule>
  </conditionalFormatting>
  <conditionalFormatting sqref="E344:P344">
    <cfRule type="containsBlanks" dxfId="640" priority="684" stopIfTrue="1">
      <formula>LEN(TRIM(E344))=0</formula>
    </cfRule>
  </conditionalFormatting>
  <conditionalFormatting sqref="E344:P344">
    <cfRule type="cellIs" dxfId="639" priority="685" stopIfTrue="1" operator="between">
      <formula>80.1</formula>
      <formula>100</formula>
    </cfRule>
  </conditionalFormatting>
  <conditionalFormatting sqref="E344:P344">
    <cfRule type="cellIs" dxfId="638" priority="686" stopIfTrue="1" operator="between">
      <formula>35.1</formula>
      <formula>80</formula>
    </cfRule>
  </conditionalFormatting>
  <conditionalFormatting sqref="E344:P344">
    <cfRule type="cellIs" dxfId="637" priority="687" stopIfTrue="1" operator="between">
      <formula>14.1</formula>
      <formula>35</formula>
    </cfRule>
  </conditionalFormatting>
  <conditionalFormatting sqref="E344:P344">
    <cfRule type="cellIs" dxfId="636" priority="688" stopIfTrue="1" operator="between">
      <formula>5.1</formula>
      <formula>14</formula>
    </cfRule>
  </conditionalFormatting>
  <conditionalFormatting sqref="E344:P344">
    <cfRule type="cellIs" dxfId="635" priority="689" stopIfTrue="1" operator="between">
      <formula>0</formula>
      <formula>5</formula>
    </cfRule>
  </conditionalFormatting>
  <conditionalFormatting sqref="E344:P344">
    <cfRule type="containsBlanks" dxfId="634" priority="690" stopIfTrue="1">
      <formula>LEN(TRIM(E344))=0</formula>
    </cfRule>
  </conditionalFormatting>
  <conditionalFormatting sqref="E345:P346">
    <cfRule type="containsBlanks" dxfId="633" priority="677" stopIfTrue="1">
      <formula>LEN(TRIM(E345))=0</formula>
    </cfRule>
  </conditionalFormatting>
  <conditionalFormatting sqref="E345:P346">
    <cfRule type="cellIs" dxfId="632" priority="678" stopIfTrue="1" operator="between">
      <formula>80.1</formula>
      <formula>100</formula>
    </cfRule>
  </conditionalFormatting>
  <conditionalFormatting sqref="E345:P346">
    <cfRule type="cellIs" dxfId="631" priority="679" stopIfTrue="1" operator="between">
      <formula>35.1</formula>
      <formula>80</formula>
    </cfRule>
  </conditionalFormatting>
  <conditionalFormatting sqref="E345:P346">
    <cfRule type="cellIs" dxfId="630" priority="680" stopIfTrue="1" operator="between">
      <formula>14.1</formula>
      <formula>35</formula>
    </cfRule>
  </conditionalFormatting>
  <conditionalFormatting sqref="E345:P346">
    <cfRule type="cellIs" dxfId="629" priority="681" stopIfTrue="1" operator="between">
      <formula>5.1</formula>
      <formula>14</formula>
    </cfRule>
  </conditionalFormatting>
  <conditionalFormatting sqref="E345:P346">
    <cfRule type="cellIs" dxfId="628" priority="682" stopIfTrue="1" operator="between">
      <formula>0</formula>
      <formula>5</formula>
    </cfRule>
  </conditionalFormatting>
  <conditionalFormatting sqref="E345:P346">
    <cfRule type="containsBlanks" dxfId="627" priority="683" stopIfTrue="1">
      <formula>LEN(TRIM(E345))=0</formula>
    </cfRule>
  </conditionalFormatting>
  <conditionalFormatting sqref="E349:P349 H350:P350 E350:F350">
    <cfRule type="containsBlanks" dxfId="626" priority="670" stopIfTrue="1">
      <formula>LEN(TRIM(E349))=0</formula>
    </cfRule>
  </conditionalFormatting>
  <conditionalFormatting sqref="E349:P349 H350:P350 E350:F350">
    <cfRule type="cellIs" dxfId="625" priority="671" stopIfTrue="1" operator="between">
      <formula>80.1</formula>
      <formula>100</formula>
    </cfRule>
  </conditionalFormatting>
  <conditionalFormatting sqref="E349:P349 H350:P350 E350:F350">
    <cfRule type="cellIs" dxfId="624" priority="672" stopIfTrue="1" operator="between">
      <formula>35.1</formula>
      <formula>80</formula>
    </cfRule>
  </conditionalFormatting>
  <conditionalFormatting sqref="E349:P349 H350:P350 E350:F350">
    <cfRule type="cellIs" dxfId="623" priority="673" stopIfTrue="1" operator="between">
      <formula>14.1</formula>
      <formula>35</formula>
    </cfRule>
  </conditionalFormatting>
  <conditionalFormatting sqref="E349:P349 H350:P350 E350:F350">
    <cfRule type="cellIs" dxfId="622" priority="674" stopIfTrue="1" operator="between">
      <formula>5.1</formula>
      <formula>14</formula>
    </cfRule>
  </conditionalFormatting>
  <conditionalFormatting sqref="E349:P349 H350:P350 E350:F350">
    <cfRule type="cellIs" dxfId="621" priority="675" stopIfTrue="1" operator="between">
      <formula>0</formula>
      <formula>5</formula>
    </cfRule>
  </conditionalFormatting>
  <conditionalFormatting sqref="E349:P349 H350:P350 E350:F350">
    <cfRule type="containsBlanks" dxfId="620" priority="676" stopIfTrue="1">
      <formula>LEN(TRIM(E349))=0</formula>
    </cfRule>
  </conditionalFormatting>
  <conditionalFormatting sqref="H368:P368 E368:F368 E351:P367">
    <cfRule type="containsBlanks" dxfId="619" priority="663" stopIfTrue="1">
      <formula>LEN(TRIM(E351))=0</formula>
    </cfRule>
    <cfRule type="cellIs" dxfId="618" priority="664" stopIfTrue="1" operator="between">
      <formula>80.1</formula>
      <formula>100</formula>
    </cfRule>
    <cfRule type="cellIs" dxfId="617" priority="665" stopIfTrue="1" operator="between">
      <formula>35.1</formula>
      <formula>80</formula>
    </cfRule>
    <cfRule type="cellIs" dxfId="616" priority="666" stopIfTrue="1" operator="between">
      <formula>14.1</formula>
      <formula>35</formula>
    </cfRule>
    <cfRule type="cellIs" dxfId="615" priority="667" stopIfTrue="1" operator="between">
      <formula>5.1</formula>
      <formula>14</formula>
    </cfRule>
    <cfRule type="cellIs" dxfId="614" priority="668" stopIfTrue="1" operator="between">
      <formula>0</formula>
      <formula>5</formula>
    </cfRule>
    <cfRule type="containsBlanks" dxfId="613" priority="669" stopIfTrue="1">
      <formula>LEN(TRIM(E351))=0</formula>
    </cfRule>
  </conditionalFormatting>
  <conditionalFormatting sqref="G368">
    <cfRule type="containsBlanks" dxfId="612" priority="656" stopIfTrue="1">
      <formula>LEN(TRIM(G368))=0</formula>
    </cfRule>
    <cfRule type="cellIs" dxfId="611" priority="657" stopIfTrue="1" operator="between">
      <formula>80.1</formula>
      <formula>100</formula>
    </cfRule>
    <cfRule type="cellIs" dxfId="610" priority="658" stopIfTrue="1" operator="between">
      <formula>35.1</formula>
      <formula>80</formula>
    </cfRule>
    <cfRule type="cellIs" dxfId="609" priority="659" stopIfTrue="1" operator="between">
      <formula>14.1</formula>
      <formula>35</formula>
    </cfRule>
    <cfRule type="cellIs" dxfId="608" priority="660" stopIfTrue="1" operator="between">
      <formula>5.1</formula>
      <formula>14</formula>
    </cfRule>
    <cfRule type="cellIs" dxfId="607" priority="661" stopIfTrue="1" operator="between">
      <formula>0</formula>
      <formula>5</formula>
    </cfRule>
    <cfRule type="containsBlanks" dxfId="606" priority="662" stopIfTrue="1">
      <formula>LEN(TRIM(G368))=0</formula>
    </cfRule>
  </conditionalFormatting>
  <conditionalFormatting sqref="E371:O374">
    <cfRule type="containsBlanks" dxfId="605" priority="649" stopIfTrue="1">
      <formula>LEN(TRIM(E371))=0</formula>
    </cfRule>
    <cfRule type="cellIs" dxfId="604" priority="650" stopIfTrue="1" operator="between">
      <formula>80.1</formula>
      <formula>100</formula>
    </cfRule>
    <cfRule type="cellIs" dxfId="603" priority="651" stopIfTrue="1" operator="between">
      <formula>35.1</formula>
      <formula>80</formula>
    </cfRule>
    <cfRule type="cellIs" dxfId="602" priority="652" stopIfTrue="1" operator="between">
      <formula>14.1</formula>
      <formula>35</formula>
    </cfRule>
    <cfRule type="cellIs" dxfId="601" priority="653" stopIfTrue="1" operator="between">
      <formula>5.1</formula>
      <formula>14</formula>
    </cfRule>
    <cfRule type="cellIs" dxfId="600" priority="654" stopIfTrue="1" operator="between">
      <formula>0</formula>
      <formula>5</formula>
    </cfRule>
    <cfRule type="containsBlanks" dxfId="599" priority="655" stopIfTrue="1">
      <formula>LEN(TRIM(E371))=0</formula>
    </cfRule>
  </conditionalFormatting>
  <conditionalFormatting sqref="E379:P382">
    <cfRule type="containsBlanks" dxfId="598" priority="642" stopIfTrue="1">
      <formula>LEN(TRIM(E379))=0</formula>
    </cfRule>
    <cfRule type="cellIs" dxfId="597" priority="643" stopIfTrue="1" operator="between">
      <formula>80.1</formula>
      <formula>100</formula>
    </cfRule>
    <cfRule type="cellIs" dxfId="596" priority="644" stopIfTrue="1" operator="between">
      <formula>35.1</formula>
      <formula>80</formula>
    </cfRule>
    <cfRule type="cellIs" dxfId="595" priority="645" stopIfTrue="1" operator="between">
      <formula>14.1</formula>
      <formula>35</formula>
    </cfRule>
    <cfRule type="cellIs" dxfId="594" priority="646" stopIfTrue="1" operator="between">
      <formula>5.1</formula>
      <formula>14</formula>
    </cfRule>
    <cfRule type="cellIs" dxfId="593" priority="647" stopIfTrue="1" operator="between">
      <formula>0</formula>
      <formula>5</formula>
    </cfRule>
    <cfRule type="containsBlanks" dxfId="592" priority="648" stopIfTrue="1">
      <formula>LEN(TRIM(E379))=0</formula>
    </cfRule>
  </conditionalFormatting>
  <conditionalFormatting sqref="E398:P406">
    <cfRule type="containsBlanks" dxfId="591" priority="635" stopIfTrue="1">
      <formula>LEN(TRIM(E398))=0</formula>
    </cfRule>
    <cfRule type="cellIs" dxfId="590" priority="636" stopIfTrue="1" operator="between">
      <formula>80.1</formula>
      <formula>100</formula>
    </cfRule>
    <cfRule type="cellIs" dxfId="589" priority="637" stopIfTrue="1" operator="between">
      <formula>35.1</formula>
      <formula>80</formula>
    </cfRule>
    <cfRule type="cellIs" dxfId="588" priority="638" stopIfTrue="1" operator="between">
      <formula>14.1</formula>
      <formula>35</formula>
    </cfRule>
    <cfRule type="cellIs" dxfId="587" priority="639" stopIfTrue="1" operator="between">
      <formula>5.1</formula>
      <formula>14</formula>
    </cfRule>
    <cfRule type="cellIs" dxfId="586" priority="640" stopIfTrue="1" operator="between">
      <formula>0</formula>
      <formula>5</formula>
    </cfRule>
    <cfRule type="containsBlanks" dxfId="585" priority="641" stopIfTrue="1">
      <formula>LEN(TRIM(E398))=0</formula>
    </cfRule>
  </conditionalFormatting>
  <conditionalFormatting sqref="E407:P417">
    <cfRule type="containsBlanks" dxfId="584" priority="628" stopIfTrue="1">
      <formula>LEN(TRIM(E407))=0</formula>
    </cfRule>
    <cfRule type="cellIs" dxfId="583" priority="629" stopIfTrue="1" operator="between">
      <formula>80.1</formula>
      <formula>100</formula>
    </cfRule>
    <cfRule type="cellIs" dxfId="582" priority="630" stopIfTrue="1" operator="between">
      <formula>35.1</formula>
      <formula>80</formula>
    </cfRule>
    <cfRule type="cellIs" dxfId="581" priority="631" stopIfTrue="1" operator="between">
      <formula>14.1</formula>
      <formula>35</formula>
    </cfRule>
    <cfRule type="cellIs" dxfId="580" priority="632" stopIfTrue="1" operator="between">
      <formula>5.1</formula>
      <formula>14</formula>
    </cfRule>
    <cfRule type="cellIs" dxfId="579" priority="633" stopIfTrue="1" operator="between">
      <formula>0</formula>
      <formula>5</formula>
    </cfRule>
    <cfRule type="containsBlanks" dxfId="578" priority="634" stopIfTrue="1">
      <formula>LEN(TRIM(E407))=0</formula>
    </cfRule>
  </conditionalFormatting>
  <conditionalFormatting sqref="K418:P421 K423:P441">
    <cfRule type="containsBlanks" dxfId="577" priority="621" stopIfTrue="1">
      <formula>LEN(TRIM(K418))=0</formula>
    </cfRule>
    <cfRule type="cellIs" dxfId="576" priority="622" stopIfTrue="1" operator="between">
      <formula>80.1</formula>
      <formula>100</formula>
    </cfRule>
    <cfRule type="cellIs" dxfId="575" priority="623" stopIfTrue="1" operator="between">
      <formula>35.1</formula>
      <formula>80</formula>
    </cfRule>
    <cfRule type="cellIs" dxfId="574" priority="624" stopIfTrue="1" operator="between">
      <formula>14.1</formula>
      <formula>35</formula>
    </cfRule>
    <cfRule type="cellIs" dxfId="573" priority="625" stopIfTrue="1" operator="between">
      <formula>5.1</formula>
      <formula>14</formula>
    </cfRule>
    <cfRule type="cellIs" dxfId="572" priority="626" stopIfTrue="1" operator="between">
      <formula>0</formula>
      <formula>5</formula>
    </cfRule>
    <cfRule type="containsBlanks" dxfId="571" priority="627" stopIfTrue="1">
      <formula>LEN(TRIM(K418))=0</formula>
    </cfRule>
  </conditionalFormatting>
  <conditionalFormatting sqref="K422:P422">
    <cfRule type="containsBlanks" dxfId="570" priority="614" stopIfTrue="1">
      <formula>LEN(TRIM(K422))=0</formula>
    </cfRule>
    <cfRule type="cellIs" dxfId="569" priority="615" stopIfTrue="1" operator="between">
      <formula>80.1</formula>
      <formula>100</formula>
    </cfRule>
    <cfRule type="cellIs" dxfId="568" priority="616" stopIfTrue="1" operator="between">
      <formula>35.1</formula>
      <formula>80</formula>
    </cfRule>
    <cfRule type="cellIs" dxfId="567" priority="617" stopIfTrue="1" operator="between">
      <formula>14.1</formula>
      <formula>35</formula>
    </cfRule>
    <cfRule type="cellIs" dxfId="566" priority="618" stopIfTrue="1" operator="between">
      <formula>5.1</formula>
      <formula>14</formula>
    </cfRule>
    <cfRule type="cellIs" dxfId="565" priority="619" stopIfTrue="1" operator="between">
      <formula>0</formula>
      <formula>5</formula>
    </cfRule>
    <cfRule type="containsBlanks" dxfId="564" priority="620" stopIfTrue="1">
      <formula>LEN(TRIM(K422))=0</formula>
    </cfRule>
  </conditionalFormatting>
  <conditionalFormatting sqref="E418:J418">
    <cfRule type="containsBlanks" dxfId="563" priority="607" stopIfTrue="1">
      <formula>LEN(TRIM(E418))=0</formula>
    </cfRule>
    <cfRule type="cellIs" dxfId="562" priority="608" stopIfTrue="1" operator="between">
      <formula>80.1</formula>
      <formula>100</formula>
    </cfRule>
    <cfRule type="cellIs" dxfId="561" priority="609" stopIfTrue="1" operator="between">
      <formula>35.1</formula>
      <formula>80</formula>
    </cfRule>
    <cfRule type="cellIs" dxfId="560" priority="610" stopIfTrue="1" operator="between">
      <formula>14.1</formula>
      <formula>35</formula>
    </cfRule>
    <cfRule type="cellIs" dxfId="559" priority="611" stopIfTrue="1" operator="between">
      <formula>5.1</formula>
      <formula>14</formula>
    </cfRule>
    <cfRule type="cellIs" dxfId="558" priority="612" stopIfTrue="1" operator="between">
      <formula>0</formula>
      <formula>5</formula>
    </cfRule>
    <cfRule type="containsBlanks" dxfId="557" priority="613" stopIfTrue="1">
      <formula>LEN(TRIM(E418))=0</formula>
    </cfRule>
  </conditionalFormatting>
  <conditionalFormatting sqref="E419:J419">
    <cfRule type="containsBlanks" dxfId="556" priority="600" stopIfTrue="1">
      <formula>LEN(TRIM(E419))=0</formula>
    </cfRule>
    <cfRule type="cellIs" dxfId="555" priority="601" stopIfTrue="1" operator="between">
      <formula>80.1</formula>
      <formula>100</formula>
    </cfRule>
    <cfRule type="cellIs" dxfId="554" priority="602" stopIfTrue="1" operator="between">
      <formula>35.1</formula>
      <formula>80</formula>
    </cfRule>
    <cfRule type="cellIs" dxfId="553" priority="603" stopIfTrue="1" operator="between">
      <formula>14.1</formula>
      <formula>35</formula>
    </cfRule>
    <cfRule type="cellIs" dxfId="552" priority="604" stopIfTrue="1" operator="between">
      <formula>5.1</formula>
      <formula>14</formula>
    </cfRule>
    <cfRule type="cellIs" dxfId="551" priority="605" stopIfTrue="1" operator="between">
      <formula>0</formula>
      <formula>5</formula>
    </cfRule>
    <cfRule type="containsBlanks" dxfId="550" priority="606" stopIfTrue="1">
      <formula>LEN(TRIM(E419))=0</formula>
    </cfRule>
  </conditionalFormatting>
  <conditionalFormatting sqref="E420:J420">
    <cfRule type="containsBlanks" dxfId="549" priority="593" stopIfTrue="1">
      <formula>LEN(TRIM(E420))=0</formula>
    </cfRule>
    <cfRule type="cellIs" dxfId="548" priority="594" stopIfTrue="1" operator="between">
      <formula>80.1</formula>
      <formula>100</formula>
    </cfRule>
    <cfRule type="cellIs" dxfId="547" priority="595" stopIfTrue="1" operator="between">
      <formula>35.1</formula>
      <formula>80</formula>
    </cfRule>
    <cfRule type="cellIs" dxfId="546" priority="596" stopIfTrue="1" operator="between">
      <formula>14.1</formula>
      <formula>35</formula>
    </cfRule>
    <cfRule type="cellIs" dxfId="545" priority="597" stopIfTrue="1" operator="between">
      <formula>5.1</formula>
      <formula>14</formula>
    </cfRule>
    <cfRule type="cellIs" dxfId="544" priority="598" stopIfTrue="1" operator="between">
      <formula>0</formula>
      <formula>5</formula>
    </cfRule>
    <cfRule type="containsBlanks" dxfId="543" priority="599" stopIfTrue="1">
      <formula>LEN(TRIM(E420))=0</formula>
    </cfRule>
  </conditionalFormatting>
  <conditionalFormatting sqref="E421:J421">
    <cfRule type="containsBlanks" dxfId="542" priority="586" stopIfTrue="1">
      <formula>LEN(TRIM(E421))=0</formula>
    </cfRule>
    <cfRule type="cellIs" dxfId="541" priority="587" stopIfTrue="1" operator="between">
      <formula>80.1</formula>
      <formula>100</formula>
    </cfRule>
    <cfRule type="cellIs" dxfId="540" priority="588" stopIfTrue="1" operator="between">
      <formula>35.1</formula>
      <formula>80</formula>
    </cfRule>
    <cfRule type="cellIs" dxfId="539" priority="589" stopIfTrue="1" operator="between">
      <formula>14.1</formula>
      <formula>35</formula>
    </cfRule>
    <cfRule type="cellIs" dxfId="538" priority="590" stopIfTrue="1" operator="between">
      <formula>5.1</formula>
      <formula>14</formula>
    </cfRule>
    <cfRule type="cellIs" dxfId="537" priority="591" stopIfTrue="1" operator="between">
      <formula>0</formula>
      <formula>5</formula>
    </cfRule>
    <cfRule type="containsBlanks" dxfId="536" priority="592" stopIfTrue="1">
      <formula>LEN(TRIM(E421))=0</formula>
    </cfRule>
  </conditionalFormatting>
  <conditionalFormatting sqref="E422:J422">
    <cfRule type="containsBlanks" dxfId="535" priority="579" stopIfTrue="1">
      <formula>LEN(TRIM(E422))=0</formula>
    </cfRule>
    <cfRule type="cellIs" dxfId="534" priority="580" stopIfTrue="1" operator="between">
      <formula>80.1</formula>
      <formula>100</formula>
    </cfRule>
    <cfRule type="cellIs" dxfId="533" priority="581" stopIfTrue="1" operator="between">
      <formula>35.1</formula>
      <formula>80</formula>
    </cfRule>
    <cfRule type="cellIs" dxfId="532" priority="582" stopIfTrue="1" operator="between">
      <formula>14.1</formula>
      <formula>35</formula>
    </cfRule>
    <cfRule type="cellIs" dxfId="531" priority="583" stopIfTrue="1" operator="between">
      <formula>5.1</formula>
      <formula>14</formula>
    </cfRule>
    <cfRule type="cellIs" dxfId="530" priority="584" stopIfTrue="1" operator="between">
      <formula>0</formula>
      <formula>5</formula>
    </cfRule>
    <cfRule type="containsBlanks" dxfId="529" priority="585" stopIfTrue="1">
      <formula>LEN(TRIM(E422))=0</formula>
    </cfRule>
  </conditionalFormatting>
  <conditionalFormatting sqref="E423:J423">
    <cfRule type="containsBlanks" dxfId="528" priority="572" stopIfTrue="1">
      <formula>LEN(TRIM(E423))=0</formula>
    </cfRule>
    <cfRule type="cellIs" dxfId="527" priority="573" stopIfTrue="1" operator="between">
      <formula>80.1</formula>
      <formula>100</formula>
    </cfRule>
    <cfRule type="cellIs" dxfId="526" priority="574" stopIfTrue="1" operator="between">
      <formula>35.1</formula>
      <formula>80</formula>
    </cfRule>
    <cfRule type="cellIs" dxfId="525" priority="575" stopIfTrue="1" operator="between">
      <formula>14.1</formula>
      <formula>35</formula>
    </cfRule>
    <cfRule type="cellIs" dxfId="524" priority="576" stopIfTrue="1" operator="between">
      <formula>5.1</formula>
      <formula>14</formula>
    </cfRule>
    <cfRule type="cellIs" dxfId="523" priority="577" stopIfTrue="1" operator="between">
      <formula>0</formula>
      <formula>5</formula>
    </cfRule>
    <cfRule type="containsBlanks" dxfId="522" priority="578" stopIfTrue="1">
      <formula>LEN(TRIM(E423))=0</formula>
    </cfRule>
  </conditionalFormatting>
  <conditionalFormatting sqref="E424:J424">
    <cfRule type="containsBlanks" dxfId="521" priority="565" stopIfTrue="1">
      <formula>LEN(TRIM(E424))=0</formula>
    </cfRule>
    <cfRule type="cellIs" dxfId="520" priority="566" stopIfTrue="1" operator="between">
      <formula>80.1</formula>
      <formula>100</formula>
    </cfRule>
    <cfRule type="cellIs" dxfId="519" priority="567" stopIfTrue="1" operator="between">
      <formula>35.1</formula>
      <formula>80</formula>
    </cfRule>
    <cfRule type="cellIs" dxfId="518" priority="568" stopIfTrue="1" operator="between">
      <formula>14.1</formula>
      <formula>35</formula>
    </cfRule>
    <cfRule type="cellIs" dxfId="517" priority="569" stopIfTrue="1" operator="between">
      <formula>5.1</formula>
      <formula>14</formula>
    </cfRule>
    <cfRule type="cellIs" dxfId="516" priority="570" stopIfTrue="1" operator="between">
      <formula>0</formula>
      <formula>5</formula>
    </cfRule>
    <cfRule type="containsBlanks" dxfId="515" priority="571" stopIfTrue="1">
      <formula>LEN(TRIM(E424))=0</formula>
    </cfRule>
  </conditionalFormatting>
  <conditionalFormatting sqref="E425:J425">
    <cfRule type="containsBlanks" dxfId="514" priority="558" stopIfTrue="1">
      <formula>LEN(TRIM(E425))=0</formula>
    </cfRule>
    <cfRule type="cellIs" dxfId="513" priority="559" stopIfTrue="1" operator="between">
      <formula>80.1</formula>
      <formula>100</formula>
    </cfRule>
    <cfRule type="cellIs" dxfId="512" priority="560" stopIfTrue="1" operator="between">
      <formula>35.1</formula>
      <formula>80</formula>
    </cfRule>
    <cfRule type="cellIs" dxfId="511" priority="561" stopIfTrue="1" operator="between">
      <formula>14.1</formula>
      <formula>35</formula>
    </cfRule>
    <cfRule type="cellIs" dxfId="510" priority="562" stopIfTrue="1" operator="between">
      <formula>5.1</formula>
      <formula>14</formula>
    </cfRule>
    <cfRule type="cellIs" dxfId="509" priority="563" stopIfTrue="1" operator="between">
      <formula>0</formula>
      <formula>5</formula>
    </cfRule>
    <cfRule type="containsBlanks" dxfId="508" priority="564" stopIfTrue="1">
      <formula>LEN(TRIM(E425))=0</formula>
    </cfRule>
  </conditionalFormatting>
  <conditionalFormatting sqref="E426:J426">
    <cfRule type="containsBlanks" dxfId="507" priority="551" stopIfTrue="1">
      <formula>LEN(TRIM(E426))=0</formula>
    </cfRule>
    <cfRule type="cellIs" dxfId="506" priority="552" stopIfTrue="1" operator="between">
      <formula>80.1</formula>
      <formula>100</formula>
    </cfRule>
    <cfRule type="cellIs" dxfId="505" priority="553" stopIfTrue="1" operator="between">
      <formula>35.1</formula>
      <formula>80</formula>
    </cfRule>
    <cfRule type="cellIs" dxfId="504" priority="554" stopIfTrue="1" operator="between">
      <formula>14.1</formula>
      <formula>35</formula>
    </cfRule>
    <cfRule type="cellIs" dxfId="503" priority="555" stopIfTrue="1" operator="between">
      <formula>5.1</formula>
      <formula>14</formula>
    </cfRule>
    <cfRule type="cellIs" dxfId="502" priority="556" stopIfTrue="1" operator="between">
      <formula>0</formula>
      <formula>5</formula>
    </cfRule>
    <cfRule type="containsBlanks" dxfId="501" priority="557" stopIfTrue="1">
      <formula>LEN(TRIM(E426))=0</formula>
    </cfRule>
  </conditionalFormatting>
  <conditionalFormatting sqref="E427:J427">
    <cfRule type="containsBlanks" dxfId="500" priority="544" stopIfTrue="1">
      <formula>LEN(TRIM(E427))=0</formula>
    </cfRule>
    <cfRule type="cellIs" dxfId="499" priority="545" stopIfTrue="1" operator="between">
      <formula>80.1</formula>
      <formula>100</formula>
    </cfRule>
    <cfRule type="cellIs" dxfId="498" priority="546" stopIfTrue="1" operator="between">
      <formula>35.1</formula>
      <formula>80</formula>
    </cfRule>
    <cfRule type="cellIs" dxfId="497" priority="547" stopIfTrue="1" operator="between">
      <formula>14.1</formula>
      <formula>35</formula>
    </cfRule>
    <cfRule type="cellIs" dxfId="496" priority="548" stopIfTrue="1" operator="between">
      <formula>5.1</formula>
      <formula>14</formula>
    </cfRule>
    <cfRule type="cellIs" dxfId="495" priority="549" stopIfTrue="1" operator="between">
      <formula>0</formula>
      <formula>5</formula>
    </cfRule>
    <cfRule type="containsBlanks" dxfId="494" priority="550" stopIfTrue="1">
      <formula>LEN(TRIM(E427))=0</formula>
    </cfRule>
  </conditionalFormatting>
  <conditionalFormatting sqref="E428:J428">
    <cfRule type="containsBlanks" dxfId="493" priority="537" stopIfTrue="1">
      <formula>LEN(TRIM(E428))=0</formula>
    </cfRule>
    <cfRule type="cellIs" dxfId="492" priority="538" stopIfTrue="1" operator="between">
      <formula>80.1</formula>
      <formula>100</formula>
    </cfRule>
    <cfRule type="cellIs" dxfId="491" priority="539" stopIfTrue="1" operator="between">
      <formula>35.1</formula>
      <formula>80</formula>
    </cfRule>
    <cfRule type="cellIs" dxfId="490" priority="540" stopIfTrue="1" operator="between">
      <formula>14.1</formula>
      <formula>35</formula>
    </cfRule>
    <cfRule type="cellIs" dxfId="489" priority="541" stopIfTrue="1" operator="between">
      <formula>5.1</formula>
      <formula>14</formula>
    </cfRule>
    <cfRule type="cellIs" dxfId="488" priority="542" stopIfTrue="1" operator="between">
      <formula>0</formula>
      <formula>5</formula>
    </cfRule>
    <cfRule type="containsBlanks" dxfId="487" priority="543" stopIfTrue="1">
      <formula>LEN(TRIM(E428))=0</formula>
    </cfRule>
  </conditionalFormatting>
  <conditionalFormatting sqref="E429:J429">
    <cfRule type="containsBlanks" dxfId="486" priority="530" stopIfTrue="1">
      <formula>LEN(TRIM(E429))=0</formula>
    </cfRule>
    <cfRule type="cellIs" dxfId="485" priority="531" stopIfTrue="1" operator="between">
      <formula>80.1</formula>
      <formula>100</formula>
    </cfRule>
    <cfRule type="cellIs" dxfId="484" priority="532" stopIfTrue="1" operator="between">
      <formula>35.1</formula>
      <formula>80</formula>
    </cfRule>
    <cfRule type="cellIs" dxfId="483" priority="533" stopIfTrue="1" operator="between">
      <formula>14.1</formula>
      <formula>35</formula>
    </cfRule>
    <cfRule type="cellIs" dxfId="482" priority="534" stopIfTrue="1" operator="between">
      <formula>5.1</formula>
      <formula>14</formula>
    </cfRule>
    <cfRule type="cellIs" dxfId="481" priority="535" stopIfTrue="1" operator="between">
      <formula>0</formula>
      <formula>5</formula>
    </cfRule>
    <cfRule type="containsBlanks" dxfId="480" priority="536" stopIfTrue="1">
      <formula>LEN(TRIM(E429))=0</formula>
    </cfRule>
  </conditionalFormatting>
  <conditionalFormatting sqref="E430:J430">
    <cfRule type="containsBlanks" dxfId="479" priority="523" stopIfTrue="1">
      <formula>LEN(TRIM(E430))=0</formula>
    </cfRule>
    <cfRule type="cellIs" dxfId="478" priority="524" stopIfTrue="1" operator="between">
      <formula>80.1</formula>
      <formula>100</formula>
    </cfRule>
    <cfRule type="cellIs" dxfId="477" priority="525" stopIfTrue="1" operator="between">
      <formula>35.1</formula>
      <formula>80</formula>
    </cfRule>
    <cfRule type="cellIs" dxfId="476" priority="526" stopIfTrue="1" operator="between">
      <formula>14.1</formula>
      <formula>35</formula>
    </cfRule>
    <cfRule type="cellIs" dxfId="475" priority="527" stopIfTrue="1" operator="between">
      <formula>5.1</formula>
      <formula>14</formula>
    </cfRule>
    <cfRule type="cellIs" dxfId="474" priority="528" stopIfTrue="1" operator="between">
      <formula>0</formula>
      <formula>5</formula>
    </cfRule>
    <cfRule type="containsBlanks" dxfId="473" priority="529" stopIfTrue="1">
      <formula>LEN(TRIM(E430))=0</formula>
    </cfRule>
  </conditionalFormatting>
  <conditionalFormatting sqref="E431:J431">
    <cfRule type="containsBlanks" dxfId="472" priority="516" stopIfTrue="1">
      <formula>LEN(TRIM(E431))=0</formula>
    </cfRule>
    <cfRule type="cellIs" dxfId="471" priority="517" stopIfTrue="1" operator="between">
      <formula>80.1</formula>
      <formula>100</formula>
    </cfRule>
    <cfRule type="cellIs" dxfId="470" priority="518" stopIfTrue="1" operator="between">
      <formula>35.1</formula>
      <formula>80</formula>
    </cfRule>
    <cfRule type="cellIs" dxfId="469" priority="519" stopIfTrue="1" operator="between">
      <formula>14.1</formula>
      <formula>35</formula>
    </cfRule>
    <cfRule type="cellIs" dxfId="468" priority="520" stopIfTrue="1" operator="between">
      <formula>5.1</formula>
      <formula>14</formula>
    </cfRule>
    <cfRule type="cellIs" dxfId="467" priority="521" stopIfTrue="1" operator="between">
      <formula>0</formula>
      <formula>5</formula>
    </cfRule>
    <cfRule type="containsBlanks" dxfId="466" priority="522" stopIfTrue="1">
      <formula>LEN(TRIM(E431))=0</formula>
    </cfRule>
  </conditionalFormatting>
  <conditionalFormatting sqref="E432:J432">
    <cfRule type="containsBlanks" dxfId="465" priority="509" stopIfTrue="1">
      <formula>LEN(TRIM(E432))=0</formula>
    </cfRule>
    <cfRule type="cellIs" dxfId="464" priority="510" stopIfTrue="1" operator="between">
      <formula>80.1</formula>
      <formula>100</formula>
    </cfRule>
    <cfRule type="cellIs" dxfId="463" priority="511" stopIfTrue="1" operator="between">
      <formula>35.1</formula>
      <formula>80</formula>
    </cfRule>
    <cfRule type="cellIs" dxfId="462" priority="512" stopIfTrue="1" operator="between">
      <formula>14.1</formula>
      <formula>35</formula>
    </cfRule>
    <cfRule type="cellIs" dxfId="461" priority="513" stopIfTrue="1" operator="between">
      <formula>5.1</formula>
      <formula>14</formula>
    </cfRule>
    <cfRule type="cellIs" dxfId="460" priority="514" stopIfTrue="1" operator="between">
      <formula>0</formula>
      <formula>5</formula>
    </cfRule>
    <cfRule type="containsBlanks" dxfId="459" priority="515" stopIfTrue="1">
      <formula>LEN(TRIM(E432))=0</formula>
    </cfRule>
  </conditionalFormatting>
  <conditionalFormatting sqref="E433:J433">
    <cfRule type="containsBlanks" dxfId="458" priority="502" stopIfTrue="1">
      <formula>LEN(TRIM(E433))=0</formula>
    </cfRule>
    <cfRule type="cellIs" dxfId="457" priority="503" stopIfTrue="1" operator="between">
      <formula>80.1</formula>
      <formula>100</formula>
    </cfRule>
    <cfRule type="cellIs" dxfId="456" priority="504" stopIfTrue="1" operator="between">
      <formula>35.1</formula>
      <formula>80</formula>
    </cfRule>
    <cfRule type="cellIs" dxfId="455" priority="505" stopIfTrue="1" operator="between">
      <formula>14.1</formula>
      <formula>35</formula>
    </cfRule>
    <cfRule type="cellIs" dxfId="454" priority="506" stopIfTrue="1" operator="between">
      <formula>5.1</formula>
      <formula>14</formula>
    </cfRule>
    <cfRule type="cellIs" dxfId="453" priority="507" stopIfTrue="1" operator="between">
      <formula>0</formula>
      <formula>5</formula>
    </cfRule>
    <cfRule type="containsBlanks" dxfId="452" priority="508" stopIfTrue="1">
      <formula>LEN(TRIM(E433))=0</formula>
    </cfRule>
  </conditionalFormatting>
  <conditionalFormatting sqref="E434:J434">
    <cfRule type="containsBlanks" dxfId="451" priority="495" stopIfTrue="1">
      <formula>LEN(TRIM(E434))=0</formula>
    </cfRule>
    <cfRule type="cellIs" dxfId="450" priority="496" stopIfTrue="1" operator="between">
      <formula>80.1</formula>
      <formula>100</formula>
    </cfRule>
    <cfRule type="cellIs" dxfId="449" priority="497" stopIfTrue="1" operator="between">
      <formula>35.1</formula>
      <formula>80</formula>
    </cfRule>
    <cfRule type="cellIs" dxfId="448" priority="498" stopIfTrue="1" operator="between">
      <formula>14.1</formula>
      <formula>35</formula>
    </cfRule>
    <cfRule type="cellIs" dxfId="447" priority="499" stopIfTrue="1" operator="between">
      <formula>5.1</formula>
      <formula>14</formula>
    </cfRule>
    <cfRule type="cellIs" dxfId="446" priority="500" stopIfTrue="1" operator="between">
      <formula>0</formula>
      <formula>5</formula>
    </cfRule>
    <cfRule type="containsBlanks" dxfId="445" priority="501" stopIfTrue="1">
      <formula>LEN(TRIM(E434))=0</formula>
    </cfRule>
  </conditionalFormatting>
  <conditionalFormatting sqref="E435:J435">
    <cfRule type="containsBlanks" dxfId="444" priority="488" stopIfTrue="1">
      <formula>LEN(TRIM(E435))=0</formula>
    </cfRule>
    <cfRule type="cellIs" dxfId="443" priority="489" stopIfTrue="1" operator="between">
      <formula>80.1</formula>
      <formula>100</formula>
    </cfRule>
    <cfRule type="cellIs" dxfId="442" priority="490" stopIfTrue="1" operator="between">
      <formula>35.1</formula>
      <formula>80</formula>
    </cfRule>
    <cfRule type="cellIs" dxfId="441" priority="491" stopIfTrue="1" operator="between">
      <formula>14.1</formula>
      <formula>35</formula>
    </cfRule>
    <cfRule type="cellIs" dxfId="440" priority="492" stopIfTrue="1" operator="between">
      <formula>5.1</formula>
      <formula>14</formula>
    </cfRule>
    <cfRule type="cellIs" dxfId="439" priority="493" stopIfTrue="1" operator="between">
      <formula>0</formula>
      <formula>5</formula>
    </cfRule>
    <cfRule type="containsBlanks" dxfId="438" priority="494" stopIfTrue="1">
      <formula>LEN(TRIM(E435))=0</formula>
    </cfRule>
  </conditionalFormatting>
  <conditionalFormatting sqref="E437:J437">
    <cfRule type="containsBlanks" dxfId="437" priority="467" stopIfTrue="1">
      <formula>LEN(TRIM(E437))=0</formula>
    </cfRule>
    <cfRule type="cellIs" dxfId="436" priority="468" stopIfTrue="1" operator="between">
      <formula>80.1</formula>
      <formula>100</formula>
    </cfRule>
    <cfRule type="cellIs" dxfId="435" priority="469" stopIfTrue="1" operator="between">
      <formula>35.1</formula>
      <formula>80</formula>
    </cfRule>
    <cfRule type="cellIs" dxfId="434" priority="470" stopIfTrue="1" operator="between">
      <formula>14.1</formula>
      <formula>35</formula>
    </cfRule>
    <cfRule type="cellIs" dxfId="433" priority="471" stopIfTrue="1" operator="between">
      <formula>5.1</formula>
      <formula>14</formula>
    </cfRule>
    <cfRule type="cellIs" dxfId="432" priority="472" stopIfTrue="1" operator="between">
      <formula>0</formula>
      <formula>5</formula>
    </cfRule>
    <cfRule type="containsBlanks" dxfId="431" priority="473" stopIfTrue="1">
      <formula>LEN(TRIM(E437))=0</formula>
    </cfRule>
  </conditionalFormatting>
  <conditionalFormatting sqref="E438:J438">
    <cfRule type="containsBlanks" dxfId="430" priority="460" stopIfTrue="1">
      <formula>LEN(TRIM(E438))=0</formula>
    </cfRule>
    <cfRule type="cellIs" dxfId="429" priority="461" stopIfTrue="1" operator="between">
      <formula>80.1</formula>
      <formula>100</formula>
    </cfRule>
    <cfRule type="cellIs" dxfId="428" priority="462" stopIfTrue="1" operator="between">
      <formula>35.1</formula>
      <formula>80</formula>
    </cfRule>
    <cfRule type="cellIs" dxfId="427" priority="463" stopIfTrue="1" operator="between">
      <formula>14.1</formula>
      <formula>35</formula>
    </cfRule>
    <cfRule type="cellIs" dxfId="426" priority="464" stopIfTrue="1" operator="between">
      <formula>5.1</formula>
      <formula>14</formula>
    </cfRule>
    <cfRule type="cellIs" dxfId="425" priority="465" stopIfTrue="1" operator="between">
      <formula>0</formula>
      <formula>5</formula>
    </cfRule>
    <cfRule type="containsBlanks" dxfId="424" priority="466" stopIfTrue="1">
      <formula>LEN(TRIM(E438))=0</formula>
    </cfRule>
  </conditionalFormatting>
  <conditionalFormatting sqref="E439:J439">
    <cfRule type="containsBlanks" dxfId="423" priority="453" stopIfTrue="1">
      <formula>LEN(TRIM(E439))=0</formula>
    </cfRule>
    <cfRule type="cellIs" dxfId="422" priority="454" stopIfTrue="1" operator="between">
      <formula>80.1</formula>
      <formula>100</formula>
    </cfRule>
    <cfRule type="cellIs" dxfId="421" priority="455" stopIfTrue="1" operator="between">
      <formula>35.1</formula>
      <formula>80</formula>
    </cfRule>
    <cfRule type="cellIs" dxfId="420" priority="456" stopIfTrue="1" operator="between">
      <formula>14.1</formula>
      <formula>35</formula>
    </cfRule>
    <cfRule type="cellIs" dxfId="419" priority="457" stopIfTrue="1" operator="between">
      <formula>5.1</formula>
      <formula>14</formula>
    </cfRule>
    <cfRule type="cellIs" dxfId="418" priority="458" stopIfTrue="1" operator="between">
      <formula>0</formula>
      <formula>5</formula>
    </cfRule>
    <cfRule type="containsBlanks" dxfId="417" priority="459" stopIfTrue="1">
      <formula>LEN(TRIM(E439))=0</formula>
    </cfRule>
  </conditionalFormatting>
  <conditionalFormatting sqref="E440:J440">
    <cfRule type="containsBlanks" dxfId="416" priority="446" stopIfTrue="1">
      <formula>LEN(TRIM(E440))=0</formula>
    </cfRule>
    <cfRule type="cellIs" dxfId="415" priority="447" stopIfTrue="1" operator="between">
      <formula>80.1</formula>
      <formula>100</formula>
    </cfRule>
    <cfRule type="cellIs" dxfId="414" priority="448" stopIfTrue="1" operator="between">
      <formula>35.1</formula>
      <formula>80</formula>
    </cfRule>
    <cfRule type="cellIs" dxfId="413" priority="449" stopIfTrue="1" operator="between">
      <formula>14.1</formula>
      <formula>35</formula>
    </cfRule>
    <cfRule type="cellIs" dxfId="412" priority="450" stopIfTrue="1" operator="between">
      <formula>5.1</formula>
      <formula>14</formula>
    </cfRule>
    <cfRule type="cellIs" dxfId="411" priority="451" stopIfTrue="1" operator="between">
      <formula>0</formula>
      <formula>5</formula>
    </cfRule>
    <cfRule type="containsBlanks" dxfId="410" priority="452" stopIfTrue="1">
      <formula>LEN(TRIM(E440))=0</formula>
    </cfRule>
  </conditionalFormatting>
  <conditionalFormatting sqref="E441:J441">
    <cfRule type="containsBlanks" dxfId="409" priority="439" stopIfTrue="1">
      <formula>LEN(TRIM(E441))=0</formula>
    </cfRule>
    <cfRule type="cellIs" dxfId="408" priority="440" stopIfTrue="1" operator="between">
      <formula>80.1</formula>
      <formula>100</formula>
    </cfRule>
    <cfRule type="cellIs" dxfId="407" priority="441" stopIfTrue="1" operator="between">
      <formula>35.1</formula>
      <formula>80</formula>
    </cfRule>
    <cfRule type="cellIs" dxfId="406" priority="442" stopIfTrue="1" operator="between">
      <formula>14.1</formula>
      <formula>35</formula>
    </cfRule>
    <cfRule type="cellIs" dxfId="405" priority="443" stopIfTrue="1" operator="between">
      <formula>5.1</formula>
      <formula>14</formula>
    </cfRule>
    <cfRule type="cellIs" dxfId="404" priority="444" stopIfTrue="1" operator="between">
      <formula>0</formula>
      <formula>5</formula>
    </cfRule>
    <cfRule type="containsBlanks" dxfId="403" priority="445" stopIfTrue="1">
      <formula>LEN(TRIM(E441))=0</formula>
    </cfRule>
  </conditionalFormatting>
  <conditionalFormatting sqref="E454:P454">
    <cfRule type="containsBlanks" dxfId="402" priority="432" stopIfTrue="1">
      <formula>LEN(TRIM(E454))=0</formula>
    </cfRule>
    <cfRule type="cellIs" dxfId="401" priority="433" stopIfTrue="1" operator="between">
      <formula>80.1</formula>
      <formula>100</formula>
    </cfRule>
    <cfRule type="cellIs" dxfId="400" priority="434" stopIfTrue="1" operator="between">
      <formula>35.1</formula>
      <formula>80</formula>
    </cfRule>
    <cfRule type="cellIs" dxfId="399" priority="435" stopIfTrue="1" operator="between">
      <formula>14.1</formula>
      <formula>35</formula>
    </cfRule>
    <cfRule type="cellIs" dxfId="398" priority="436" stopIfTrue="1" operator="between">
      <formula>5.1</formula>
      <formula>14</formula>
    </cfRule>
    <cfRule type="cellIs" dxfId="397" priority="437" stopIfTrue="1" operator="between">
      <formula>0</formula>
      <formula>5</formula>
    </cfRule>
    <cfRule type="containsBlanks" dxfId="396" priority="438" stopIfTrue="1">
      <formula>LEN(TRIM(E454))=0</formula>
    </cfRule>
  </conditionalFormatting>
  <conditionalFormatting sqref="E451:P451">
    <cfRule type="containsBlanks" dxfId="395" priority="425" stopIfTrue="1">
      <formula>LEN(TRIM(E451))=0</formula>
    </cfRule>
    <cfRule type="cellIs" dxfId="394" priority="426" stopIfTrue="1" operator="between">
      <formula>80.1</formula>
      <formula>100</formula>
    </cfRule>
    <cfRule type="cellIs" dxfId="393" priority="427" stopIfTrue="1" operator="between">
      <formula>35.1</formula>
      <formula>80</formula>
    </cfRule>
    <cfRule type="cellIs" dxfId="392" priority="428" stopIfTrue="1" operator="between">
      <formula>14.1</formula>
      <formula>35</formula>
    </cfRule>
    <cfRule type="cellIs" dxfId="391" priority="429" stopIfTrue="1" operator="between">
      <formula>5.1</formula>
      <formula>14</formula>
    </cfRule>
    <cfRule type="cellIs" dxfId="390" priority="430" stopIfTrue="1" operator="between">
      <formula>0</formula>
      <formula>5</formula>
    </cfRule>
    <cfRule type="containsBlanks" dxfId="389" priority="431" stopIfTrue="1">
      <formula>LEN(TRIM(E451))=0</formula>
    </cfRule>
  </conditionalFormatting>
  <conditionalFormatting sqref="E452:P452">
    <cfRule type="containsBlanks" dxfId="388" priority="418" stopIfTrue="1">
      <formula>LEN(TRIM(E452))=0</formula>
    </cfRule>
    <cfRule type="cellIs" dxfId="387" priority="419" stopIfTrue="1" operator="between">
      <formula>80.1</formula>
      <formula>100</formula>
    </cfRule>
    <cfRule type="cellIs" dxfId="386" priority="420" stopIfTrue="1" operator="between">
      <formula>35.1</formula>
      <formula>80</formula>
    </cfRule>
    <cfRule type="cellIs" dxfId="385" priority="421" stopIfTrue="1" operator="between">
      <formula>14.1</formula>
      <formula>35</formula>
    </cfRule>
    <cfRule type="cellIs" dxfId="384" priority="422" stopIfTrue="1" operator="between">
      <formula>5.1</formula>
      <formula>14</formula>
    </cfRule>
    <cfRule type="cellIs" dxfId="383" priority="423" stopIfTrue="1" operator="between">
      <formula>0</formula>
      <formula>5</formula>
    </cfRule>
    <cfRule type="containsBlanks" dxfId="382" priority="424" stopIfTrue="1">
      <formula>LEN(TRIM(E452))=0</formula>
    </cfRule>
  </conditionalFormatting>
  <conditionalFormatting sqref="E448:P448">
    <cfRule type="containsBlanks" dxfId="381" priority="411" stopIfTrue="1">
      <formula>LEN(TRIM(E448))=0</formula>
    </cfRule>
    <cfRule type="cellIs" dxfId="380" priority="412" stopIfTrue="1" operator="between">
      <formula>80.1</formula>
      <formula>100</formula>
    </cfRule>
    <cfRule type="cellIs" dxfId="379" priority="413" stopIfTrue="1" operator="between">
      <formula>35.1</formula>
      <formula>80</formula>
    </cfRule>
    <cfRule type="cellIs" dxfId="378" priority="414" stopIfTrue="1" operator="between">
      <formula>14.1</formula>
      <formula>35</formula>
    </cfRule>
    <cfRule type="cellIs" dxfId="377" priority="415" stopIfTrue="1" operator="between">
      <formula>5.1</formula>
      <formula>14</formula>
    </cfRule>
    <cfRule type="cellIs" dxfId="376" priority="416" stopIfTrue="1" operator="between">
      <formula>0</formula>
      <formula>5</formula>
    </cfRule>
    <cfRule type="containsBlanks" dxfId="375" priority="417" stopIfTrue="1">
      <formula>LEN(TRIM(E448))=0</formula>
    </cfRule>
  </conditionalFormatting>
  <conditionalFormatting sqref="E464:E472 K464:P464 G464:G470 I464:J465 H466:H472 J470:J472 I467:I469 J466 K466:P472 K465:M465 O465:P465">
    <cfRule type="containsBlanks" dxfId="374" priority="404" stopIfTrue="1">
      <formula>LEN(TRIM(E464))=0</formula>
    </cfRule>
    <cfRule type="cellIs" dxfId="373" priority="405" stopIfTrue="1" operator="between">
      <formula>80.1</formula>
      <formula>100</formula>
    </cfRule>
    <cfRule type="cellIs" dxfId="372" priority="406" stopIfTrue="1" operator="between">
      <formula>35.1</formula>
      <formula>80</formula>
    </cfRule>
    <cfRule type="cellIs" dxfId="371" priority="407" stopIfTrue="1" operator="between">
      <formula>14.1</formula>
      <formula>35</formula>
    </cfRule>
    <cfRule type="cellIs" dxfId="370" priority="408" stopIfTrue="1" operator="between">
      <formula>5.1</formula>
      <formula>14</formula>
    </cfRule>
    <cfRule type="cellIs" dxfId="369" priority="409" stopIfTrue="1" operator="between">
      <formula>0</formula>
      <formula>5</formula>
    </cfRule>
    <cfRule type="containsBlanks" dxfId="368" priority="410" stopIfTrue="1">
      <formula>LEN(TRIM(E464))=0</formula>
    </cfRule>
  </conditionalFormatting>
  <conditionalFormatting sqref="F471:G472 F464:F470">
    <cfRule type="containsBlanks" dxfId="367" priority="397" stopIfTrue="1">
      <formula>LEN(TRIM(F464))=0</formula>
    </cfRule>
    <cfRule type="cellIs" dxfId="366" priority="398" stopIfTrue="1" operator="between">
      <formula>80.1</formula>
      <formula>100</formula>
    </cfRule>
    <cfRule type="cellIs" dxfId="365" priority="399" stopIfTrue="1" operator="between">
      <formula>35.1</formula>
      <formula>80</formula>
    </cfRule>
    <cfRule type="cellIs" dxfId="364" priority="400" stopIfTrue="1" operator="between">
      <formula>14.1</formula>
      <formula>35</formula>
    </cfRule>
    <cfRule type="cellIs" dxfId="363" priority="401" stopIfTrue="1" operator="between">
      <formula>5.1</formula>
      <formula>14</formula>
    </cfRule>
    <cfRule type="cellIs" dxfId="362" priority="402" stopIfTrue="1" operator="between">
      <formula>0</formula>
      <formula>5</formula>
    </cfRule>
    <cfRule type="containsBlanks" dxfId="361" priority="403" stopIfTrue="1">
      <formula>LEN(TRIM(F464))=0</formula>
    </cfRule>
  </conditionalFormatting>
  <conditionalFormatting sqref="E473:P481">
    <cfRule type="containsBlanks" dxfId="360" priority="390" stopIfTrue="1">
      <formula>LEN(TRIM(E473))=0</formula>
    </cfRule>
    <cfRule type="cellIs" dxfId="359" priority="391" stopIfTrue="1" operator="between">
      <formula>80.1</formula>
      <formula>100</formula>
    </cfRule>
    <cfRule type="cellIs" dxfId="358" priority="392" stopIfTrue="1" operator="between">
      <formula>35.1</formula>
      <formula>80</formula>
    </cfRule>
    <cfRule type="cellIs" dxfId="357" priority="393" stopIfTrue="1" operator="between">
      <formula>14.1</formula>
      <formula>35</formula>
    </cfRule>
    <cfRule type="cellIs" dxfId="356" priority="394" stopIfTrue="1" operator="between">
      <formula>5.1</formula>
      <formula>14</formula>
    </cfRule>
    <cfRule type="cellIs" dxfId="355" priority="395" stopIfTrue="1" operator="between">
      <formula>0</formula>
      <formula>5</formula>
    </cfRule>
    <cfRule type="containsBlanks" dxfId="354" priority="396" stopIfTrue="1">
      <formula>LEN(TRIM(E473))=0</formula>
    </cfRule>
  </conditionalFormatting>
  <conditionalFormatting sqref="E484:P486">
    <cfRule type="containsBlanks" dxfId="353" priority="383" stopIfTrue="1">
      <formula>LEN(TRIM(E484))=0</formula>
    </cfRule>
    <cfRule type="cellIs" dxfId="352" priority="384" stopIfTrue="1" operator="between">
      <formula>80.1</formula>
      <formula>100</formula>
    </cfRule>
    <cfRule type="cellIs" dxfId="351" priority="385" stopIfTrue="1" operator="between">
      <formula>35.1</formula>
      <formula>80</formula>
    </cfRule>
    <cfRule type="cellIs" dxfId="350" priority="386" stopIfTrue="1" operator="between">
      <formula>14.1</formula>
      <formula>35</formula>
    </cfRule>
    <cfRule type="cellIs" dxfId="349" priority="387" stopIfTrue="1" operator="between">
      <formula>5.1</formula>
      <formula>14</formula>
    </cfRule>
    <cfRule type="cellIs" dxfId="348" priority="388" stopIfTrue="1" operator="between">
      <formula>0</formula>
      <formula>5</formula>
    </cfRule>
    <cfRule type="containsBlanks" dxfId="347" priority="389" stopIfTrue="1">
      <formula>LEN(TRIM(E484))=0</formula>
    </cfRule>
  </conditionalFormatting>
  <conditionalFormatting sqref="E489:P489">
    <cfRule type="containsBlanks" dxfId="346" priority="376" stopIfTrue="1">
      <formula>LEN(TRIM(E489))=0</formula>
    </cfRule>
    <cfRule type="cellIs" dxfId="345" priority="377" stopIfTrue="1" operator="between">
      <formula>80.1</formula>
      <formula>100</formula>
    </cfRule>
    <cfRule type="cellIs" dxfId="344" priority="378" stopIfTrue="1" operator="between">
      <formula>35.1</formula>
      <formula>80</formula>
    </cfRule>
    <cfRule type="cellIs" dxfId="343" priority="379" stopIfTrue="1" operator="between">
      <formula>14.1</formula>
      <formula>35</formula>
    </cfRule>
    <cfRule type="cellIs" dxfId="342" priority="380" stopIfTrue="1" operator="between">
      <formula>5.1</formula>
      <formula>14</formula>
    </cfRule>
    <cfRule type="cellIs" dxfId="341" priority="381" stopIfTrue="1" operator="between">
      <formula>0</formula>
      <formula>5</formula>
    </cfRule>
    <cfRule type="containsBlanks" dxfId="340" priority="382" stopIfTrue="1">
      <formula>LEN(TRIM(E489))=0</formula>
    </cfRule>
  </conditionalFormatting>
  <conditionalFormatting sqref="E488:P488">
    <cfRule type="containsBlanks" dxfId="339" priority="369" stopIfTrue="1">
      <formula>LEN(TRIM(E488))=0</formula>
    </cfRule>
    <cfRule type="cellIs" dxfId="338" priority="370" stopIfTrue="1" operator="between">
      <formula>80.1</formula>
      <formula>100</formula>
    </cfRule>
    <cfRule type="cellIs" dxfId="337" priority="371" stopIfTrue="1" operator="between">
      <formula>35.1</formula>
      <formula>80</formula>
    </cfRule>
    <cfRule type="cellIs" dxfId="336" priority="372" stopIfTrue="1" operator="between">
      <formula>14.1</formula>
      <formula>35</formula>
    </cfRule>
    <cfRule type="cellIs" dxfId="335" priority="373" stopIfTrue="1" operator="between">
      <formula>5.1</formula>
      <formula>14</formula>
    </cfRule>
    <cfRule type="cellIs" dxfId="334" priority="374" stopIfTrue="1" operator="between">
      <formula>0</formula>
      <formula>5</formula>
    </cfRule>
    <cfRule type="containsBlanks" dxfId="333" priority="375" stopIfTrue="1">
      <formula>LEN(TRIM(E488))=0</formula>
    </cfRule>
  </conditionalFormatting>
  <conditionalFormatting sqref="E490:P491">
    <cfRule type="containsBlanks" dxfId="332" priority="362" stopIfTrue="1">
      <formula>LEN(TRIM(E490))=0</formula>
    </cfRule>
    <cfRule type="cellIs" dxfId="331" priority="363" stopIfTrue="1" operator="between">
      <formula>79.1</formula>
      <formula>100</formula>
    </cfRule>
    <cfRule type="cellIs" dxfId="330" priority="364" stopIfTrue="1" operator="between">
      <formula>34.1</formula>
      <formula>79</formula>
    </cfRule>
    <cfRule type="cellIs" dxfId="329" priority="365" stopIfTrue="1" operator="between">
      <formula>13.1</formula>
      <formula>34</formula>
    </cfRule>
    <cfRule type="cellIs" dxfId="328" priority="366" stopIfTrue="1" operator="between">
      <formula>5.1</formula>
      <formula>13</formula>
    </cfRule>
    <cfRule type="cellIs" dxfId="327" priority="367" stopIfTrue="1" operator="between">
      <formula>0</formula>
      <formula>5</formula>
    </cfRule>
    <cfRule type="containsBlanks" dxfId="326" priority="368" stopIfTrue="1">
      <formula>LEN(TRIM(E490))=0</formula>
    </cfRule>
  </conditionalFormatting>
  <conditionalFormatting sqref="E494:Q494">
    <cfRule type="containsBlanks" dxfId="325" priority="355" stopIfTrue="1">
      <formula>LEN(TRIM(E494))=0</formula>
    </cfRule>
    <cfRule type="cellIs" dxfId="324" priority="356" stopIfTrue="1" operator="between">
      <formula>79.1</formula>
      <formula>100</formula>
    </cfRule>
    <cfRule type="cellIs" dxfId="323" priority="357" stopIfTrue="1" operator="between">
      <formula>34.1</formula>
      <formula>79</formula>
    </cfRule>
    <cfRule type="cellIs" dxfId="322" priority="358" stopIfTrue="1" operator="between">
      <formula>13.1</formula>
      <formula>34</formula>
    </cfRule>
    <cfRule type="cellIs" dxfId="321" priority="359" stopIfTrue="1" operator="between">
      <formula>5.1</formula>
      <formula>13</formula>
    </cfRule>
    <cfRule type="cellIs" dxfId="320" priority="360" stopIfTrue="1" operator="between">
      <formula>0</formula>
      <formula>5</formula>
    </cfRule>
    <cfRule type="containsBlanks" dxfId="319" priority="361" stopIfTrue="1">
      <formula>LEN(TRIM(E494))=0</formula>
    </cfRule>
  </conditionalFormatting>
  <conditionalFormatting sqref="E534:P534">
    <cfRule type="containsBlanks" dxfId="318" priority="348" stopIfTrue="1">
      <formula>LEN(TRIM(E534))=0</formula>
    </cfRule>
    <cfRule type="cellIs" dxfId="317" priority="349" stopIfTrue="1" operator="between">
      <formula>79.1</formula>
      <formula>100</formula>
    </cfRule>
    <cfRule type="cellIs" dxfId="316" priority="350" stopIfTrue="1" operator="between">
      <formula>34.1</formula>
      <formula>79</formula>
    </cfRule>
    <cfRule type="cellIs" dxfId="315" priority="351" stopIfTrue="1" operator="between">
      <formula>13.1</formula>
      <formula>34</formula>
    </cfRule>
    <cfRule type="cellIs" dxfId="314" priority="352" stopIfTrue="1" operator="between">
      <formula>5.1</formula>
      <formula>13</formula>
    </cfRule>
    <cfRule type="cellIs" dxfId="313" priority="353" stopIfTrue="1" operator="between">
      <formula>0</formula>
      <formula>5</formula>
    </cfRule>
    <cfRule type="containsBlanks" dxfId="312" priority="354" stopIfTrue="1">
      <formula>LEN(TRIM(E534))=0</formula>
    </cfRule>
  </conditionalFormatting>
  <conditionalFormatting sqref="E492:P492">
    <cfRule type="containsBlanks" dxfId="311" priority="341" stopIfTrue="1">
      <formula>LEN(TRIM(E492))=0</formula>
    </cfRule>
    <cfRule type="cellIs" dxfId="310" priority="342" stopIfTrue="1" operator="between">
      <formula>79.1</formula>
      <formula>100</formula>
    </cfRule>
    <cfRule type="cellIs" dxfId="309" priority="343" stopIfTrue="1" operator="between">
      <formula>34.1</formula>
      <formula>79</formula>
    </cfRule>
    <cfRule type="cellIs" dxfId="308" priority="344" stopIfTrue="1" operator="between">
      <formula>13.1</formula>
      <formula>34</formula>
    </cfRule>
    <cfRule type="cellIs" dxfId="307" priority="345" stopIfTrue="1" operator="between">
      <formula>5.1</formula>
      <formula>13</formula>
    </cfRule>
    <cfRule type="cellIs" dxfId="306" priority="346" stopIfTrue="1" operator="between">
      <formula>0</formula>
      <formula>5</formula>
    </cfRule>
    <cfRule type="containsBlanks" dxfId="305" priority="347" stopIfTrue="1">
      <formula>LEN(TRIM(E492))=0</formula>
    </cfRule>
  </conditionalFormatting>
  <conditionalFormatting sqref="E493:P493">
    <cfRule type="containsBlanks" dxfId="304" priority="334" stopIfTrue="1">
      <formula>LEN(TRIM(E493))=0</formula>
    </cfRule>
    <cfRule type="cellIs" dxfId="303" priority="335" stopIfTrue="1" operator="between">
      <formula>79.1</formula>
      <formula>100</formula>
    </cfRule>
    <cfRule type="cellIs" dxfId="302" priority="336" stopIfTrue="1" operator="between">
      <formula>34.1</formula>
      <formula>79</formula>
    </cfRule>
    <cfRule type="cellIs" dxfId="301" priority="337" stopIfTrue="1" operator="between">
      <formula>13.1</formula>
      <formula>34</formula>
    </cfRule>
    <cfRule type="cellIs" dxfId="300" priority="338" stopIfTrue="1" operator="between">
      <formula>5.1</formula>
      <formula>13</formula>
    </cfRule>
    <cfRule type="cellIs" dxfId="299" priority="339" stopIfTrue="1" operator="between">
      <formula>0</formula>
      <formula>5</formula>
    </cfRule>
    <cfRule type="containsBlanks" dxfId="298" priority="340" stopIfTrue="1">
      <formula>LEN(TRIM(E493))=0</formula>
    </cfRule>
  </conditionalFormatting>
  <conditionalFormatting sqref="E495:P495">
    <cfRule type="containsBlanks" dxfId="297" priority="327" stopIfTrue="1">
      <formula>LEN(TRIM(E495))=0</formula>
    </cfRule>
    <cfRule type="cellIs" dxfId="296" priority="328" stopIfTrue="1" operator="between">
      <formula>79.1</formula>
      <formula>100</formula>
    </cfRule>
    <cfRule type="cellIs" dxfId="295" priority="329" stopIfTrue="1" operator="between">
      <formula>34.1</formula>
      <formula>79</formula>
    </cfRule>
    <cfRule type="cellIs" dxfId="294" priority="330" stopIfTrue="1" operator="between">
      <formula>13.1</formula>
      <formula>34</formula>
    </cfRule>
    <cfRule type="cellIs" dxfId="293" priority="331" stopIfTrue="1" operator="between">
      <formula>5.1</formula>
      <formula>13</formula>
    </cfRule>
    <cfRule type="cellIs" dxfId="292" priority="332" stopIfTrue="1" operator="between">
      <formula>0</formula>
      <formula>5</formula>
    </cfRule>
    <cfRule type="containsBlanks" dxfId="291" priority="333" stopIfTrue="1">
      <formula>LEN(TRIM(E495))=0</formula>
    </cfRule>
  </conditionalFormatting>
  <conditionalFormatting sqref="E496:P496">
    <cfRule type="containsBlanks" dxfId="290" priority="320" stopIfTrue="1">
      <formula>LEN(TRIM(E496))=0</formula>
    </cfRule>
    <cfRule type="cellIs" dxfId="289" priority="321" stopIfTrue="1" operator="between">
      <formula>79.1</formula>
      <formula>100</formula>
    </cfRule>
    <cfRule type="cellIs" dxfId="288" priority="322" stopIfTrue="1" operator="between">
      <formula>34.1</formula>
      <formula>79</formula>
    </cfRule>
    <cfRule type="cellIs" dxfId="287" priority="323" stopIfTrue="1" operator="between">
      <formula>13.1</formula>
      <formula>34</formula>
    </cfRule>
    <cfRule type="cellIs" dxfId="286" priority="324" stopIfTrue="1" operator="between">
      <formula>5.1</formula>
      <formula>13</formula>
    </cfRule>
    <cfRule type="cellIs" dxfId="285" priority="325" stopIfTrue="1" operator="between">
      <formula>0</formula>
      <formula>5</formula>
    </cfRule>
    <cfRule type="containsBlanks" dxfId="284" priority="326" stopIfTrue="1">
      <formula>LEN(TRIM(E496))=0</formula>
    </cfRule>
  </conditionalFormatting>
  <conditionalFormatting sqref="E502:P502">
    <cfRule type="containsBlanks" dxfId="283" priority="313" stopIfTrue="1">
      <formula>LEN(TRIM(E502))=0</formula>
    </cfRule>
    <cfRule type="cellIs" dxfId="282" priority="314" stopIfTrue="1" operator="between">
      <formula>79.1</formula>
      <formula>100</formula>
    </cfRule>
    <cfRule type="cellIs" dxfId="281" priority="315" stopIfTrue="1" operator="between">
      <formula>34.1</formula>
      <formula>79</formula>
    </cfRule>
    <cfRule type="cellIs" dxfId="280" priority="316" stopIfTrue="1" operator="between">
      <formula>13.1</formula>
      <formula>34</formula>
    </cfRule>
    <cfRule type="cellIs" dxfId="279" priority="317" stopIfTrue="1" operator="between">
      <formula>5.1</formula>
      <formula>13</formula>
    </cfRule>
    <cfRule type="cellIs" dxfId="278" priority="318" stopIfTrue="1" operator="between">
      <formula>0</formula>
      <formula>5</formula>
    </cfRule>
    <cfRule type="containsBlanks" dxfId="277" priority="319" stopIfTrue="1">
      <formula>LEN(TRIM(E502))=0</formula>
    </cfRule>
  </conditionalFormatting>
  <conditionalFormatting sqref="E500:P500">
    <cfRule type="containsBlanks" dxfId="276" priority="306" stopIfTrue="1">
      <formula>LEN(TRIM(E500))=0</formula>
    </cfRule>
    <cfRule type="cellIs" dxfId="275" priority="307" stopIfTrue="1" operator="between">
      <formula>79.1</formula>
      <formula>100</formula>
    </cfRule>
    <cfRule type="cellIs" dxfId="274" priority="308" stopIfTrue="1" operator="between">
      <formula>34.1</formula>
      <formula>79</formula>
    </cfRule>
    <cfRule type="cellIs" dxfId="273" priority="309" stopIfTrue="1" operator="between">
      <formula>13.1</formula>
      <formula>34</formula>
    </cfRule>
    <cfRule type="cellIs" dxfId="272" priority="310" stopIfTrue="1" operator="between">
      <formula>5.1</formula>
      <formula>13</formula>
    </cfRule>
    <cfRule type="cellIs" dxfId="271" priority="311" stopIfTrue="1" operator="between">
      <formula>0</formula>
      <formula>5</formula>
    </cfRule>
    <cfRule type="containsBlanks" dxfId="270" priority="312" stopIfTrue="1">
      <formula>LEN(TRIM(E500))=0</formula>
    </cfRule>
  </conditionalFormatting>
  <conditionalFormatting sqref="E501:P501">
    <cfRule type="containsBlanks" dxfId="269" priority="299" stopIfTrue="1">
      <formula>LEN(TRIM(E501))=0</formula>
    </cfRule>
    <cfRule type="cellIs" dxfId="268" priority="300" stopIfTrue="1" operator="between">
      <formula>79.1</formula>
      <formula>100</formula>
    </cfRule>
    <cfRule type="cellIs" dxfId="267" priority="301" stopIfTrue="1" operator="between">
      <formula>34.1</formula>
      <formula>79</formula>
    </cfRule>
    <cfRule type="cellIs" dxfId="266" priority="302" stopIfTrue="1" operator="between">
      <formula>13.1</formula>
      <formula>34</formula>
    </cfRule>
    <cfRule type="cellIs" dxfId="265" priority="303" stopIfTrue="1" operator="between">
      <formula>5.1</formula>
      <formula>13</formula>
    </cfRule>
    <cfRule type="cellIs" dxfId="264" priority="304" stopIfTrue="1" operator="between">
      <formula>0</formula>
      <formula>5</formula>
    </cfRule>
    <cfRule type="containsBlanks" dxfId="263" priority="305" stopIfTrue="1">
      <formula>LEN(TRIM(E501))=0</formula>
    </cfRule>
  </conditionalFormatting>
  <conditionalFormatting sqref="E503:P503">
    <cfRule type="containsBlanks" dxfId="262" priority="292" stopIfTrue="1">
      <formula>LEN(TRIM(E503))=0</formula>
    </cfRule>
    <cfRule type="cellIs" dxfId="261" priority="293" stopIfTrue="1" operator="between">
      <formula>79.1</formula>
      <formula>100</formula>
    </cfRule>
    <cfRule type="cellIs" dxfId="260" priority="294" stopIfTrue="1" operator="between">
      <formula>34.1</formula>
      <formula>79</formula>
    </cfRule>
    <cfRule type="cellIs" dxfId="259" priority="295" stopIfTrue="1" operator="between">
      <formula>13.1</formula>
      <formula>34</formula>
    </cfRule>
    <cfRule type="cellIs" dxfId="258" priority="296" stopIfTrue="1" operator="between">
      <formula>5.1</formula>
      <formula>13</formula>
    </cfRule>
    <cfRule type="cellIs" dxfId="257" priority="297" stopIfTrue="1" operator="between">
      <formula>0</formula>
      <formula>5</formula>
    </cfRule>
    <cfRule type="containsBlanks" dxfId="256" priority="298" stopIfTrue="1">
      <formula>LEN(TRIM(E503))=0</formula>
    </cfRule>
  </conditionalFormatting>
  <conditionalFormatting sqref="E504:P504">
    <cfRule type="containsBlanks" dxfId="255" priority="278" stopIfTrue="1">
      <formula>LEN(TRIM(E504))=0</formula>
    </cfRule>
    <cfRule type="cellIs" dxfId="254" priority="279" stopIfTrue="1" operator="between">
      <formula>79.1</formula>
      <formula>100</formula>
    </cfRule>
    <cfRule type="cellIs" dxfId="253" priority="280" stopIfTrue="1" operator="between">
      <formula>34.1</formula>
      <formula>79</formula>
    </cfRule>
    <cfRule type="cellIs" dxfId="252" priority="281" stopIfTrue="1" operator="between">
      <formula>13.1</formula>
      <formula>34</formula>
    </cfRule>
    <cfRule type="cellIs" dxfId="251" priority="282" stopIfTrue="1" operator="between">
      <formula>5.1</formula>
      <formula>13</formula>
    </cfRule>
    <cfRule type="cellIs" dxfId="250" priority="283" stopIfTrue="1" operator="between">
      <formula>0</formula>
      <formula>5</formula>
    </cfRule>
    <cfRule type="containsBlanks" dxfId="249" priority="284" stopIfTrue="1">
      <formula>LEN(TRIM(E504))=0</formula>
    </cfRule>
  </conditionalFormatting>
  <conditionalFormatting sqref="E505:P505">
    <cfRule type="containsBlanks" dxfId="248" priority="271" stopIfTrue="1">
      <formula>LEN(TRIM(E505))=0</formula>
    </cfRule>
    <cfRule type="cellIs" dxfId="247" priority="272" stopIfTrue="1" operator="between">
      <formula>79.1</formula>
      <formula>100</formula>
    </cfRule>
    <cfRule type="cellIs" dxfId="246" priority="273" stopIfTrue="1" operator="between">
      <formula>34.1</formula>
      <formula>79</formula>
    </cfRule>
    <cfRule type="cellIs" dxfId="245" priority="274" stopIfTrue="1" operator="between">
      <formula>13.1</formula>
      <formula>34</formula>
    </cfRule>
    <cfRule type="cellIs" dxfId="244" priority="275" stopIfTrue="1" operator="between">
      <formula>5.1</formula>
      <formula>13</formula>
    </cfRule>
    <cfRule type="cellIs" dxfId="243" priority="276" stopIfTrue="1" operator="between">
      <formula>0</formula>
      <formula>5</formula>
    </cfRule>
    <cfRule type="containsBlanks" dxfId="242" priority="277" stopIfTrue="1">
      <formula>LEN(TRIM(E505))=0</formula>
    </cfRule>
  </conditionalFormatting>
  <conditionalFormatting sqref="E508:P508">
    <cfRule type="containsBlanks" dxfId="241" priority="264" stopIfTrue="1">
      <formula>LEN(TRIM(E508))=0</formula>
    </cfRule>
    <cfRule type="cellIs" dxfId="240" priority="265" stopIfTrue="1" operator="between">
      <formula>79.1</formula>
      <formula>100</formula>
    </cfRule>
    <cfRule type="cellIs" dxfId="239" priority="266" stopIfTrue="1" operator="between">
      <formula>34.1</formula>
      <formula>79</formula>
    </cfRule>
    <cfRule type="cellIs" dxfId="238" priority="267" stopIfTrue="1" operator="between">
      <formula>13.1</formula>
      <formula>34</formula>
    </cfRule>
    <cfRule type="cellIs" dxfId="237" priority="268" stopIfTrue="1" operator="between">
      <formula>5.1</formula>
      <formula>13</formula>
    </cfRule>
    <cfRule type="cellIs" dxfId="236" priority="269" stopIfTrue="1" operator="between">
      <formula>0</formula>
      <formula>5</formula>
    </cfRule>
    <cfRule type="containsBlanks" dxfId="235" priority="270" stopIfTrue="1">
      <formula>LEN(TRIM(E508))=0</formula>
    </cfRule>
  </conditionalFormatting>
  <conditionalFormatting sqref="E506:P506">
    <cfRule type="containsBlanks" dxfId="234" priority="257" stopIfTrue="1">
      <formula>LEN(TRIM(E506))=0</formula>
    </cfRule>
    <cfRule type="cellIs" dxfId="233" priority="258" stopIfTrue="1" operator="between">
      <formula>79.1</formula>
      <formula>100</formula>
    </cfRule>
    <cfRule type="cellIs" dxfId="232" priority="259" stopIfTrue="1" operator="between">
      <formula>34.1</formula>
      <formula>79</formula>
    </cfRule>
    <cfRule type="cellIs" dxfId="231" priority="260" stopIfTrue="1" operator="between">
      <formula>13.1</formula>
      <formula>34</formula>
    </cfRule>
    <cfRule type="cellIs" dxfId="230" priority="261" stopIfTrue="1" operator="between">
      <formula>5.1</formula>
      <formula>13</formula>
    </cfRule>
    <cfRule type="cellIs" dxfId="229" priority="262" stopIfTrue="1" operator="between">
      <formula>0</formula>
      <formula>5</formula>
    </cfRule>
    <cfRule type="containsBlanks" dxfId="228" priority="263" stopIfTrue="1">
      <formula>LEN(TRIM(E506))=0</formula>
    </cfRule>
  </conditionalFormatting>
  <conditionalFormatting sqref="E510:P510">
    <cfRule type="containsBlanks" dxfId="227" priority="250" stopIfTrue="1">
      <formula>LEN(TRIM(E510))=0</formula>
    </cfRule>
    <cfRule type="cellIs" dxfId="226" priority="251" stopIfTrue="1" operator="between">
      <formula>79.1</formula>
      <formula>100</formula>
    </cfRule>
    <cfRule type="cellIs" dxfId="225" priority="252" stopIfTrue="1" operator="between">
      <formula>34.1</formula>
      <formula>79</formula>
    </cfRule>
    <cfRule type="cellIs" dxfId="224" priority="253" stopIfTrue="1" operator="between">
      <formula>13.1</formula>
      <formula>34</formula>
    </cfRule>
    <cfRule type="cellIs" dxfId="223" priority="254" stopIfTrue="1" operator="between">
      <formula>5.1</formula>
      <formula>13</formula>
    </cfRule>
    <cfRule type="cellIs" dxfId="222" priority="255" stopIfTrue="1" operator="between">
      <formula>0</formula>
      <formula>5</formula>
    </cfRule>
    <cfRule type="containsBlanks" dxfId="221" priority="256" stopIfTrue="1">
      <formula>LEN(TRIM(E510))=0</formula>
    </cfRule>
  </conditionalFormatting>
  <conditionalFormatting sqref="E533:P533">
    <cfRule type="containsBlanks" dxfId="220" priority="243" stopIfTrue="1">
      <formula>LEN(TRIM(E533))=0</formula>
    </cfRule>
    <cfRule type="cellIs" dxfId="219" priority="244" stopIfTrue="1" operator="between">
      <formula>79.1</formula>
      <formula>100</formula>
    </cfRule>
    <cfRule type="cellIs" dxfId="218" priority="245" stopIfTrue="1" operator="between">
      <formula>34.1</formula>
      <formula>79</formula>
    </cfRule>
    <cfRule type="cellIs" dxfId="217" priority="246" stopIfTrue="1" operator="between">
      <formula>13.1</formula>
      <formula>34</formula>
    </cfRule>
    <cfRule type="cellIs" dxfId="216" priority="247" stopIfTrue="1" operator="between">
      <formula>5.1</formula>
      <formula>13</formula>
    </cfRule>
    <cfRule type="cellIs" dxfId="215" priority="248" stopIfTrue="1" operator="between">
      <formula>0</formula>
      <formula>5</formula>
    </cfRule>
    <cfRule type="containsBlanks" dxfId="214" priority="249" stopIfTrue="1">
      <formula>LEN(TRIM(E533))=0</formula>
    </cfRule>
  </conditionalFormatting>
  <conditionalFormatting sqref="E515:P515">
    <cfRule type="containsBlanks" dxfId="213" priority="236" stopIfTrue="1">
      <formula>LEN(TRIM(E515))=0</formula>
    </cfRule>
    <cfRule type="cellIs" dxfId="212" priority="237" stopIfTrue="1" operator="between">
      <formula>79.1</formula>
      <formula>100</formula>
    </cfRule>
    <cfRule type="cellIs" dxfId="211" priority="238" stopIfTrue="1" operator="between">
      <formula>34.1</formula>
      <formula>79</formula>
    </cfRule>
    <cfRule type="cellIs" dxfId="210" priority="239" stopIfTrue="1" operator="between">
      <formula>13.1</formula>
      <formula>34</formula>
    </cfRule>
    <cfRule type="cellIs" dxfId="209" priority="240" stopIfTrue="1" operator="between">
      <formula>5.1</formula>
      <formula>13</formula>
    </cfRule>
    <cfRule type="cellIs" dxfId="208" priority="241" stopIfTrue="1" operator="between">
      <formula>0</formula>
      <formula>5</formula>
    </cfRule>
    <cfRule type="containsBlanks" dxfId="207" priority="242" stopIfTrue="1">
      <formula>LEN(TRIM(E515))=0</formula>
    </cfRule>
  </conditionalFormatting>
  <conditionalFormatting sqref="E513:P514">
    <cfRule type="containsBlanks" dxfId="206" priority="222" stopIfTrue="1">
      <formula>LEN(TRIM(E513))=0</formula>
    </cfRule>
    <cfRule type="cellIs" dxfId="205" priority="223" stopIfTrue="1" operator="between">
      <formula>79.1</formula>
      <formula>100</formula>
    </cfRule>
    <cfRule type="cellIs" dxfId="204" priority="224" stopIfTrue="1" operator="between">
      <formula>34.1</formula>
      <formula>79</formula>
    </cfRule>
    <cfRule type="cellIs" dxfId="203" priority="225" stopIfTrue="1" operator="between">
      <formula>13.1</formula>
      <formula>34</formula>
    </cfRule>
    <cfRule type="cellIs" dxfId="202" priority="226" stopIfTrue="1" operator="between">
      <formula>5.1</formula>
      <formula>13</formula>
    </cfRule>
    <cfRule type="cellIs" dxfId="201" priority="227" stopIfTrue="1" operator="between">
      <formula>0</formula>
      <formula>5</formula>
    </cfRule>
    <cfRule type="containsBlanks" dxfId="200" priority="228" stopIfTrue="1">
      <formula>LEN(TRIM(E513))=0</formula>
    </cfRule>
  </conditionalFormatting>
  <conditionalFormatting sqref="E512:P512">
    <cfRule type="containsBlanks" dxfId="199" priority="215" stopIfTrue="1">
      <formula>LEN(TRIM(E512))=0</formula>
    </cfRule>
    <cfRule type="cellIs" dxfId="198" priority="216" stopIfTrue="1" operator="between">
      <formula>79.1</formula>
      <formula>100</formula>
    </cfRule>
    <cfRule type="cellIs" dxfId="197" priority="217" stopIfTrue="1" operator="between">
      <formula>34.1</formula>
      <formula>79</formula>
    </cfRule>
    <cfRule type="cellIs" dxfId="196" priority="218" stopIfTrue="1" operator="between">
      <formula>13.1</formula>
      <formula>34</formula>
    </cfRule>
    <cfRule type="cellIs" dxfId="195" priority="219" stopIfTrue="1" operator="between">
      <formula>5.1</formula>
      <formula>13</formula>
    </cfRule>
    <cfRule type="cellIs" dxfId="194" priority="220" stopIfTrue="1" operator="between">
      <formula>0</formula>
      <formula>5</formula>
    </cfRule>
    <cfRule type="containsBlanks" dxfId="193" priority="221" stopIfTrue="1">
      <formula>LEN(TRIM(E512))=0</formula>
    </cfRule>
  </conditionalFormatting>
  <conditionalFormatting sqref="E517:P517">
    <cfRule type="containsBlanks" dxfId="192" priority="208" stopIfTrue="1">
      <formula>LEN(TRIM(E517))=0</formula>
    </cfRule>
    <cfRule type="cellIs" dxfId="191" priority="209" stopIfTrue="1" operator="between">
      <formula>79.1</formula>
      <formula>100</formula>
    </cfRule>
    <cfRule type="cellIs" dxfId="190" priority="210" stopIfTrue="1" operator="between">
      <formula>34.1</formula>
      <formula>79</formula>
    </cfRule>
    <cfRule type="cellIs" dxfId="189" priority="211" stopIfTrue="1" operator="between">
      <formula>13.1</formula>
      <formula>34</formula>
    </cfRule>
    <cfRule type="cellIs" dxfId="188" priority="212" stopIfTrue="1" operator="between">
      <formula>5.1</formula>
      <formula>13</formula>
    </cfRule>
    <cfRule type="cellIs" dxfId="187" priority="213" stopIfTrue="1" operator="between">
      <formula>0</formula>
      <formula>5</formula>
    </cfRule>
    <cfRule type="containsBlanks" dxfId="186" priority="214" stopIfTrue="1">
      <formula>LEN(TRIM(E517))=0</formula>
    </cfRule>
  </conditionalFormatting>
  <conditionalFormatting sqref="E518:P518">
    <cfRule type="containsBlanks" dxfId="185" priority="201" stopIfTrue="1">
      <formula>LEN(TRIM(E518))=0</formula>
    </cfRule>
    <cfRule type="cellIs" dxfId="184" priority="202" stopIfTrue="1" operator="between">
      <formula>79.1</formula>
      <formula>100</formula>
    </cfRule>
    <cfRule type="cellIs" dxfId="183" priority="203" stopIfTrue="1" operator="between">
      <formula>34.1</formula>
      <formula>79</formula>
    </cfRule>
    <cfRule type="cellIs" dxfId="182" priority="204" stopIfTrue="1" operator="between">
      <formula>13.1</formula>
      <formula>34</formula>
    </cfRule>
    <cfRule type="cellIs" dxfId="181" priority="205" stopIfTrue="1" operator="between">
      <formula>5.1</formula>
      <formula>13</formula>
    </cfRule>
    <cfRule type="cellIs" dxfId="180" priority="206" stopIfTrue="1" operator="between">
      <formula>0</formula>
      <formula>5</formula>
    </cfRule>
    <cfRule type="containsBlanks" dxfId="179" priority="207" stopIfTrue="1">
      <formula>LEN(TRIM(E518))=0</formula>
    </cfRule>
  </conditionalFormatting>
  <conditionalFormatting sqref="E519:P522">
    <cfRule type="containsBlanks" dxfId="178" priority="194" stopIfTrue="1">
      <formula>LEN(TRIM(E519))=0</formula>
    </cfRule>
    <cfRule type="cellIs" dxfId="177" priority="195" stopIfTrue="1" operator="between">
      <formula>79.1</formula>
      <formula>100</formula>
    </cfRule>
    <cfRule type="cellIs" dxfId="176" priority="196" stopIfTrue="1" operator="between">
      <formula>34.1</formula>
      <formula>79</formula>
    </cfRule>
    <cfRule type="cellIs" dxfId="175" priority="197" stopIfTrue="1" operator="between">
      <formula>13.1</formula>
      <formula>34</formula>
    </cfRule>
    <cfRule type="cellIs" dxfId="174" priority="198" stopIfTrue="1" operator="between">
      <formula>5.1</formula>
      <formula>13</formula>
    </cfRule>
    <cfRule type="cellIs" dxfId="173" priority="199" stopIfTrue="1" operator="between">
      <formula>0</formula>
      <formula>5</formula>
    </cfRule>
    <cfRule type="containsBlanks" dxfId="172" priority="200" stopIfTrue="1">
      <formula>LEN(TRIM(E519))=0</formula>
    </cfRule>
  </conditionalFormatting>
  <conditionalFormatting sqref="E523:P523">
    <cfRule type="containsBlanks" dxfId="171" priority="187" stopIfTrue="1">
      <formula>LEN(TRIM(E523))=0</formula>
    </cfRule>
    <cfRule type="cellIs" dxfId="170" priority="188" stopIfTrue="1" operator="between">
      <formula>79.1</formula>
      <formula>100</formula>
    </cfRule>
    <cfRule type="cellIs" dxfId="169" priority="189" stopIfTrue="1" operator="between">
      <formula>34.1</formula>
      <formula>79</formula>
    </cfRule>
    <cfRule type="cellIs" dxfId="168" priority="190" stopIfTrue="1" operator="between">
      <formula>13.1</formula>
      <formula>34</formula>
    </cfRule>
    <cfRule type="cellIs" dxfId="167" priority="191" stopIfTrue="1" operator="between">
      <formula>5.1</formula>
      <formula>13</formula>
    </cfRule>
    <cfRule type="cellIs" dxfId="166" priority="192" stopIfTrue="1" operator="between">
      <formula>0</formula>
      <formula>5</formula>
    </cfRule>
    <cfRule type="containsBlanks" dxfId="165" priority="193" stopIfTrue="1">
      <formula>LEN(TRIM(E523))=0</formula>
    </cfRule>
  </conditionalFormatting>
  <conditionalFormatting sqref="E528:Q528">
    <cfRule type="containsBlanks" dxfId="164" priority="180" stopIfTrue="1">
      <formula>LEN(TRIM(E528))=0</formula>
    </cfRule>
    <cfRule type="cellIs" dxfId="163" priority="181" stopIfTrue="1" operator="between">
      <formula>79.1</formula>
      <formula>100</formula>
    </cfRule>
    <cfRule type="cellIs" dxfId="162" priority="182" stopIfTrue="1" operator="between">
      <formula>34.1</formula>
      <formula>79</formula>
    </cfRule>
    <cfRule type="cellIs" dxfId="161" priority="183" stopIfTrue="1" operator="between">
      <formula>13.1</formula>
      <formula>34</formula>
    </cfRule>
    <cfRule type="cellIs" dxfId="160" priority="184" stopIfTrue="1" operator="between">
      <formula>5.1</formula>
      <formula>13</formula>
    </cfRule>
    <cfRule type="cellIs" dxfId="159" priority="185" stopIfTrue="1" operator="between">
      <formula>0</formula>
      <formula>5</formula>
    </cfRule>
    <cfRule type="containsBlanks" dxfId="158" priority="186" stopIfTrue="1">
      <formula>LEN(TRIM(E528))=0</formula>
    </cfRule>
  </conditionalFormatting>
  <conditionalFormatting sqref="E525:P525">
    <cfRule type="containsBlanks" dxfId="157" priority="173" stopIfTrue="1">
      <formula>LEN(TRIM(E525))=0</formula>
    </cfRule>
    <cfRule type="cellIs" dxfId="156" priority="174" stopIfTrue="1" operator="between">
      <formula>79.1</formula>
      <formula>100</formula>
    </cfRule>
    <cfRule type="cellIs" dxfId="155" priority="175" stopIfTrue="1" operator="between">
      <formula>34.1</formula>
      <formula>79</formula>
    </cfRule>
    <cfRule type="cellIs" dxfId="154" priority="176" stopIfTrue="1" operator="between">
      <formula>13.1</formula>
      <formula>34</formula>
    </cfRule>
    <cfRule type="cellIs" dxfId="153" priority="177" stopIfTrue="1" operator="between">
      <formula>5.1</formula>
      <formula>13</formula>
    </cfRule>
    <cfRule type="cellIs" dxfId="152" priority="178" stopIfTrue="1" operator="between">
      <formula>0</formula>
      <formula>5</formula>
    </cfRule>
    <cfRule type="containsBlanks" dxfId="151" priority="179" stopIfTrue="1">
      <formula>LEN(TRIM(E525))=0</formula>
    </cfRule>
  </conditionalFormatting>
  <conditionalFormatting sqref="E529:P529">
    <cfRule type="containsBlanks" dxfId="150" priority="166" stopIfTrue="1">
      <formula>LEN(TRIM(E529))=0</formula>
    </cfRule>
    <cfRule type="cellIs" dxfId="149" priority="167" stopIfTrue="1" operator="between">
      <formula>79.1</formula>
      <formula>100</formula>
    </cfRule>
    <cfRule type="cellIs" dxfId="148" priority="168" stopIfTrue="1" operator="between">
      <formula>34.1</formula>
      <formula>79</formula>
    </cfRule>
    <cfRule type="cellIs" dxfId="147" priority="169" stopIfTrue="1" operator="between">
      <formula>13.1</formula>
      <formula>34</formula>
    </cfRule>
    <cfRule type="cellIs" dxfId="146" priority="170" stopIfTrue="1" operator="between">
      <formula>5.1</formula>
      <formula>13</formula>
    </cfRule>
    <cfRule type="cellIs" dxfId="145" priority="171" stopIfTrue="1" operator="between">
      <formula>0</formula>
      <formula>5</formula>
    </cfRule>
    <cfRule type="containsBlanks" dxfId="144" priority="172" stopIfTrue="1">
      <formula>LEN(TRIM(E529))=0</formula>
    </cfRule>
  </conditionalFormatting>
  <conditionalFormatting sqref="E535:P535">
    <cfRule type="containsBlanks" dxfId="143" priority="159" stopIfTrue="1">
      <formula>LEN(TRIM(E535))=0</formula>
    </cfRule>
    <cfRule type="cellIs" dxfId="142" priority="160" stopIfTrue="1" operator="between">
      <formula>79.1</formula>
      <formula>100</formula>
    </cfRule>
    <cfRule type="cellIs" dxfId="141" priority="161" stopIfTrue="1" operator="between">
      <formula>34.1</formula>
      <formula>79</formula>
    </cfRule>
    <cfRule type="cellIs" dxfId="140" priority="162" stopIfTrue="1" operator="between">
      <formula>13.1</formula>
      <formula>34</formula>
    </cfRule>
    <cfRule type="cellIs" dxfId="139" priority="163" stopIfTrue="1" operator="between">
      <formula>5.1</formula>
      <formula>13</formula>
    </cfRule>
    <cfRule type="cellIs" dxfId="138" priority="164" stopIfTrue="1" operator="between">
      <formula>0</formula>
      <formula>5</formula>
    </cfRule>
    <cfRule type="containsBlanks" dxfId="137" priority="165" stopIfTrue="1">
      <formula>LEN(TRIM(E535))=0</formula>
    </cfRule>
  </conditionalFormatting>
  <conditionalFormatting sqref="E530:P530">
    <cfRule type="containsBlanks" dxfId="136" priority="152" stopIfTrue="1">
      <formula>LEN(TRIM(E530))=0</formula>
    </cfRule>
    <cfRule type="cellIs" dxfId="135" priority="153" stopIfTrue="1" operator="between">
      <formula>79.1</formula>
      <formula>100</formula>
    </cfRule>
    <cfRule type="cellIs" dxfId="134" priority="154" stopIfTrue="1" operator="between">
      <formula>34.1</formula>
      <formula>79</formula>
    </cfRule>
    <cfRule type="cellIs" dxfId="133" priority="155" stopIfTrue="1" operator="between">
      <formula>13.1</formula>
      <formula>34</formula>
    </cfRule>
    <cfRule type="cellIs" dxfId="132" priority="156" stopIfTrue="1" operator="between">
      <formula>5.1</formula>
      <formula>13</formula>
    </cfRule>
    <cfRule type="cellIs" dxfId="131" priority="157" stopIfTrue="1" operator="between">
      <formula>0</formula>
      <formula>5</formula>
    </cfRule>
    <cfRule type="containsBlanks" dxfId="130" priority="158" stopIfTrue="1">
      <formula>LEN(TRIM(E530))=0</formula>
    </cfRule>
  </conditionalFormatting>
  <conditionalFormatting sqref="E531:P531">
    <cfRule type="containsBlanks" dxfId="129" priority="145" stopIfTrue="1">
      <formula>LEN(TRIM(E531))=0</formula>
    </cfRule>
    <cfRule type="cellIs" dxfId="128" priority="146" stopIfTrue="1" operator="between">
      <formula>79.1</formula>
      <formula>100</formula>
    </cfRule>
    <cfRule type="cellIs" dxfId="127" priority="147" stopIfTrue="1" operator="between">
      <formula>34.1</formula>
      <formula>79</formula>
    </cfRule>
    <cfRule type="cellIs" dxfId="126" priority="148" stopIfTrue="1" operator="between">
      <formula>13.1</formula>
      <formula>34</formula>
    </cfRule>
    <cfRule type="cellIs" dxfId="125" priority="149" stopIfTrue="1" operator="between">
      <formula>5.1</formula>
      <formula>13</formula>
    </cfRule>
    <cfRule type="cellIs" dxfId="124" priority="150" stopIfTrue="1" operator="between">
      <formula>0</formula>
      <formula>5</formula>
    </cfRule>
    <cfRule type="containsBlanks" dxfId="123" priority="151" stopIfTrue="1">
      <formula>LEN(TRIM(E531))=0</formula>
    </cfRule>
  </conditionalFormatting>
  <conditionalFormatting sqref="E532:P532">
    <cfRule type="containsBlanks" dxfId="122" priority="138" stopIfTrue="1">
      <formula>LEN(TRIM(E532))=0</formula>
    </cfRule>
    <cfRule type="cellIs" dxfId="121" priority="139" stopIfTrue="1" operator="between">
      <formula>79.1</formula>
      <formula>100</formula>
    </cfRule>
    <cfRule type="cellIs" dxfId="120" priority="140" stopIfTrue="1" operator="between">
      <formula>34.1</formula>
      <formula>79</formula>
    </cfRule>
    <cfRule type="cellIs" dxfId="119" priority="141" stopIfTrue="1" operator="between">
      <formula>13.1</formula>
      <formula>34</formula>
    </cfRule>
    <cfRule type="cellIs" dxfId="118" priority="142" stopIfTrue="1" operator="between">
      <formula>5.1</formula>
      <formula>13</formula>
    </cfRule>
    <cfRule type="cellIs" dxfId="117" priority="143" stopIfTrue="1" operator="between">
      <formula>0</formula>
      <formula>5</formula>
    </cfRule>
    <cfRule type="containsBlanks" dxfId="116" priority="144" stopIfTrue="1">
      <formula>LEN(TRIM(E532))=0</formula>
    </cfRule>
  </conditionalFormatting>
  <conditionalFormatting sqref="E536:P539">
    <cfRule type="containsBlanks" dxfId="115" priority="131" stopIfTrue="1">
      <formula>LEN(TRIM(E536))=0</formula>
    </cfRule>
    <cfRule type="cellIs" dxfId="114" priority="132" stopIfTrue="1" operator="between">
      <formula>80.1</formula>
      <formula>100</formula>
    </cfRule>
    <cfRule type="cellIs" dxfId="113" priority="133" stopIfTrue="1" operator="between">
      <formula>35.1</formula>
      <formula>80</formula>
    </cfRule>
    <cfRule type="cellIs" dxfId="112" priority="134" stopIfTrue="1" operator="between">
      <formula>14.1</formula>
      <formula>35</formula>
    </cfRule>
    <cfRule type="cellIs" dxfId="111" priority="135" stopIfTrue="1" operator="between">
      <formula>5.1</formula>
      <formula>14</formula>
    </cfRule>
    <cfRule type="cellIs" dxfId="110" priority="136" stopIfTrue="1" operator="between">
      <formula>0</formula>
      <formula>5</formula>
    </cfRule>
    <cfRule type="containsBlanks" dxfId="109" priority="137" stopIfTrue="1">
      <formula>LEN(TRIM(E536))=0</formula>
    </cfRule>
  </conditionalFormatting>
  <conditionalFormatting sqref="E540:P540">
    <cfRule type="containsBlanks" dxfId="108" priority="124" stopIfTrue="1">
      <formula>LEN(TRIM(E540))=0</formula>
    </cfRule>
    <cfRule type="cellIs" dxfId="107" priority="125" stopIfTrue="1" operator="between">
      <formula>80.1</formula>
      <formula>100</formula>
    </cfRule>
    <cfRule type="cellIs" dxfId="106" priority="126" stopIfTrue="1" operator="between">
      <formula>35.1</formula>
      <formula>80</formula>
    </cfRule>
    <cfRule type="cellIs" dxfId="105" priority="127" stopIfTrue="1" operator="between">
      <formula>14.1</formula>
      <formula>35</formula>
    </cfRule>
    <cfRule type="cellIs" dxfId="104" priority="128" stopIfTrue="1" operator="between">
      <formula>5.1</formula>
      <formula>14</formula>
    </cfRule>
    <cfRule type="cellIs" dxfId="103" priority="129" stopIfTrue="1" operator="between">
      <formula>0</formula>
      <formula>5</formula>
    </cfRule>
    <cfRule type="containsBlanks" dxfId="102" priority="130" stopIfTrue="1">
      <formula>LEN(TRIM(E540))=0</formula>
    </cfRule>
  </conditionalFormatting>
  <conditionalFormatting sqref="E552:P552">
    <cfRule type="containsBlanks" dxfId="101" priority="117" stopIfTrue="1">
      <formula>LEN(TRIM(E552))=0</formula>
    </cfRule>
    <cfRule type="cellIs" dxfId="100" priority="118" stopIfTrue="1" operator="between">
      <formula>80.1</formula>
      <formula>100</formula>
    </cfRule>
    <cfRule type="cellIs" dxfId="99" priority="119" stopIfTrue="1" operator="between">
      <formula>35.1</formula>
      <formula>80</formula>
    </cfRule>
    <cfRule type="cellIs" dxfId="98" priority="120" stopIfTrue="1" operator="between">
      <formula>14.1</formula>
      <formula>35</formula>
    </cfRule>
    <cfRule type="cellIs" dxfId="97" priority="121" stopIfTrue="1" operator="between">
      <formula>5.1</formula>
      <formula>14</formula>
    </cfRule>
    <cfRule type="cellIs" dxfId="96" priority="122" stopIfTrue="1" operator="between">
      <formula>0</formula>
      <formula>5</formula>
    </cfRule>
    <cfRule type="containsBlanks" dxfId="95" priority="123" stopIfTrue="1">
      <formula>LEN(TRIM(E552))=0</formula>
    </cfRule>
  </conditionalFormatting>
  <conditionalFormatting sqref="E541:P541">
    <cfRule type="containsBlanks" dxfId="94" priority="110" stopIfTrue="1">
      <formula>LEN(TRIM(E541))=0</formula>
    </cfRule>
    <cfRule type="cellIs" dxfId="93" priority="111" stopIfTrue="1" operator="between">
      <formula>80.1</formula>
      <formula>100</formula>
    </cfRule>
    <cfRule type="cellIs" dxfId="92" priority="112" stopIfTrue="1" operator="between">
      <formula>35.1</formula>
      <formula>80</formula>
    </cfRule>
    <cfRule type="cellIs" dxfId="91" priority="113" stopIfTrue="1" operator="between">
      <formula>14.1</formula>
      <formula>35</formula>
    </cfRule>
    <cfRule type="cellIs" dxfId="90" priority="114" stopIfTrue="1" operator="between">
      <formula>5.1</formula>
      <formula>14</formula>
    </cfRule>
    <cfRule type="cellIs" dxfId="89" priority="115" stopIfTrue="1" operator="between">
      <formula>0</formula>
      <formula>5</formula>
    </cfRule>
    <cfRule type="containsBlanks" dxfId="88" priority="116" stopIfTrue="1">
      <formula>LEN(TRIM(E541))=0</formula>
    </cfRule>
  </conditionalFormatting>
  <conditionalFormatting sqref="E542:P544">
    <cfRule type="containsBlanks" dxfId="87" priority="103" stopIfTrue="1">
      <formula>LEN(TRIM(E542))=0</formula>
    </cfRule>
    <cfRule type="cellIs" dxfId="86" priority="104" stopIfTrue="1" operator="between">
      <formula>80.1</formula>
      <formula>100</formula>
    </cfRule>
    <cfRule type="cellIs" dxfId="85" priority="105" stopIfTrue="1" operator="between">
      <formula>35.1</formula>
      <formula>80</formula>
    </cfRule>
    <cfRule type="cellIs" dxfId="84" priority="106" stopIfTrue="1" operator="between">
      <formula>14.1</formula>
      <formula>35</formula>
    </cfRule>
    <cfRule type="cellIs" dxfId="83" priority="107" stopIfTrue="1" operator="between">
      <formula>5.1</formula>
      <formula>14</formula>
    </cfRule>
    <cfRule type="cellIs" dxfId="82" priority="108" stopIfTrue="1" operator="between">
      <formula>0</formula>
      <formula>5</formula>
    </cfRule>
    <cfRule type="containsBlanks" dxfId="81" priority="109" stopIfTrue="1">
      <formula>LEN(TRIM(E542))=0</formula>
    </cfRule>
  </conditionalFormatting>
  <conditionalFormatting sqref="E558:Q559">
    <cfRule type="containsBlanks" dxfId="80" priority="29" stopIfTrue="1">
      <formula>LEN(TRIM(E558))=0</formula>
    </cfRule>
    <cfRule type="cellIs" dxfId="79" priority="30" stopIfTrue="1" operator="between">
      <formula>80.1</formula>
      <formula>100</formula>
    </cfRule>
    <cfRule type="cellIs" dxfId="78" priority="31" stopIfTrue="1" operator="between">
      <formula>35.1</formula>
      <formula>80</formula>
    </cfRule>
    <cfRule type="cellIs" dxfId="77" priority="32" stopIfTrue="1" operator="between">
      <formula>14.1</formula>
      <formula>35</formula>
    </cfRule>
    <cfRule type="cellIs" dxfId="76" priority="33" stopIfTrue="1" operator="between">
      <formula>5.1</formula>
      <formula>14</formula>
    </cfRule>
    <cfRule type="cellIs" dxfId="75" priority="34" stopIfTrue="1" operator="between">
      <formula>0</formula>
      <formula>5</formula>
    </cfRule>
    <cfRule type="containsBlanks" dxfId="74" priority="35" stopIfTrue="1">
      <formula>LEN(TRIM(E558))=0</formula>
    </cfRule>
  </conditionalFormatting>
  <conditionalFormatting sqref="E548:P548">
    <cfRule type="containsBlanks" dxfId="73" priority="89" stopIfTrue="1">
      <formula>LEN(TRIM(E548))=0</formula>
    </cfRule>
    <cfRule type="cellIs" dxfId="72" priority="90" stopIfTrue="1" operator="between">
      <formula>80.1</formula>
      <formula>100</formula>
    </cfRule>
    <cfRule type="cellIs" dxfId="71" priority="91" stopIfTrue="1" operator="between">
      <formula>35.1</formula>
      <formula>80</formula>
    </cfRule>
    <cfRule type="cellIs" dxfId="70" priority="92" stopIfTrue="1" operator="between">
      <formula>14.1</formula>
      <formula>35</formula>
    </cfRule>
    <cfRule type="cellIs" dxfId="69" priority="93" stopIfTrue="1" operator="between">
      <formula>5.1</formula>
      <formula>14</formula>
    </cfRule>
    <cfRule type="cellIs" dxfId="68" priority="94" stopIfTrue="1" operator="between">
      <formula>0</formula>
      <formula>5</formula>
    </cfRule>
    <cfRule type="containsBlanks" dxfId="67" priority="95" stopIfTrue="1">
      <formula>LEN(TRIM(E548))=0</formula>
    </cfRule>
  </conditionalFormatting>
  <conditionalFormatting sqref="E550:P550">
    <cfRule type="containsBlanks" dxfId="66" priority="82" stopIfTrue="1">
      <formula>LEN(TRIM(E550))=0</formula>
    </cfRule>
    <cfRule type="cellIs" dxfId="65" priority="83" stopIfTrue="1" operator="between">
      <formula>80.1</formula>
      <formula>100</formula>
    </cfRule>
    <cfRule type="cellIs" dxfId="64" priority="84" stopIfTrue="1" operator="between">
      <formula>35.1</formula>
      <formula>80</formula>
    </cfRule>
    <cfRule type="cellIs" dxfId="63" priority="85" stopIfTrue="1" operator="between">
      <formula>14.1</formula>
      <formula>35</formula>
    </cfRule>
    <cfRule type="cellIs" dxfId="62" priority="86" stopIfTrue="1" operator="between">
      <formula>5.1</formula>
      <formula>14</formula>
    </cfRule>
    <cfRule type="cellIs" dxfId="61" priority="87" stopIfTrue="1" operator="between">
      <formula>0</formula>
      <formula>5</formula>
    </cfRule>
    <cfRule type="containsBlanks" dxfId="60" priority="88" stopIfTrue="1">
      <formula>LEN(TRIM(E550))=0</formula>
    </cfRule>
  </conditionalFormatting>
  <conditionalFormatting sqref="E549:P549">
    <cfRule type="containsBlanks" dxfId="59" priority="75" stopIfTrue="1">
      <formula>LEN(TRIM(E549))=0</formula>
    </cfRule>
    <cfRule type="cellIs" dxfId="58" priority="76" stopIfTrue="1" operator="between">
      <formula>80.1</formula>
      <formula>100</formula>
    </cfRule>
    <cfRule type="cellIs" dxfId="57" priority="77" stopIfTrue="1" operator="between">
      <formula>35.1</formula>
      <formula>80</formula>
    </cfRule>
    <cfRule type="cellIs" dxfId="56" priority="78" stopIfTrue="1" operator="between">
      <formula>14.1</formula>
      <formula>35</formula>
    </cfRule>
    <cfRule type="cellIs" dxfId="55" priority="79" stopIfTrue="1" operator="between">
      <formula>5.1</formula>
      <formula>14</formula>
    </cfRule>
    <cfRule type="cellIs" dxfId="54" priority="80" stopIfTrue="1" operator="between">
      <formula>0</formula>
      <formula>5</formula>
    </cfRule>
    <cfRule type="containsBlanks" dxfId="53" priority="81" stopIfTrue="1">
      <formula>LEN(TRIM(E549))=0</formula>
    </cfRule>
  </conditionalFormatting>
  <conditionalFormatting sqref="S553:S554">
    <cfRule type="containsText" dxfId="52" priority="53" stopIfTrue="1" operator="containsText" text="SIN RIESGO">
      <formula>NOT(ISERROR(SEARCH("SIN RIESGO",S553)))</formula>
    </cfRule>
  </conditionalFormatting>
  <conditionalFormatting sqref="R553:R554">
    <cfRule type="cellIs" dxfId="51" priority="67" stopIfTrue="1" operator="equal">
      <formula>"NO"</formula>
    </cfRule>
  </conditionalFormatting>
  <conditionalFormatting sqref="S553:S554">
    <cfRule type="cellIs" dxfId="50" priority="66" stopIfTrue="1" operator="equal">
      <formula>"INVIABLE SANITARIAMENTE"</formula>
    </cfRule>
  </conditionalFormatting>
  <conditionalFormatting sqref="E553:Q554">
    <cfRule type="containsBlanks" dxfId="49" priority="59" stopIfTrue="1">
      <formula>LEN(TRIM(E553))=0</formula>
    </cfRule>
    <cfRule type="cellIs" dxfId="48" priority="60" stopIfTrue="1" operator="between">
      <formula>80.1</formula>
      <formula>100</formula>
    </cfRule>
    <cfRule type="cellIs" dxfId="47" priority="61" stopIfTrue="1" operator="between">
      <formula>35.1</formula>
      <formula>80</formula>
    </cfRule>
    <cfRule type="cellIs" dxfId="46" priority="62" stopIfTrue="1" operator="between">
      <formula>14.1</formula>
      <formula>35</formula>
    </cfRule>
    <cfRule type="cellIs" dxfId="45" priority="63" stopIfTrue="1" operator="between">
      <formula>5.1</formula>
      <formula>14</formula>
    </cfRule>
    <cfRule type="cellIs" dxfId="44" priority="64" stopIfTrue="1" operator="between">
      <formula>0</formula>
      <formula>5</formula>
    </cfRule>
    <cfRule type="containsBlanks" dxfId="43" priority="65" stopIfTrue="1">
      <formula>LEN(TRIM(E553))=0</formula>
    </cfRule>
  </conditionalFormatting>
  <conditionalFormatting sqref="S553:S554">
    <cfRule type="containsText" dxfId="42" priority="54" stopIfTrue="1" operator="containsText" text="INVIABLE SANITARIAMENTE">
      <formula>NOT(ISERROR(SEARCH("INVIABLE SANITARIAMENTE",S553)))</formula>
    </cfRule>
    <cfRule type="containsText" dxfId="41" priority="55" stopIfTrue="1" operator="containsText" text="ALTO">
      <formula>NOT(ISERROR(SEARCH("ALTO",S553)))</formula>
    </cfRule>
    <cfRule type="containsText" dxfId="40" priority="56" stopIfTrue="1" operator="containsText" text="MEDIO">
      <formula>NOT(ISERROR(SEARCH("MEDIO",S553)))</formula>
    </cfRule>
    <cfRule type="containsText" dxfId="39" priority="57" stopIfTrue="1" operator="containsText" text="BAJO">
      <formula>NOT(ISERROR(SEARCH("BAJO",S553)))</formula>
    </cfRule>
    <cfRule type="containsText" dxfId="38" priority="58" stopIfTrue="1" operator="containsText" text="SIN RIESGO">
      <formula>NOT(ISERROR(SEARCH("SIN RIESGO",S553)))</formula>
    </cfRule>
  </conditionalFormatting>
  <conditionalFormatting sqref="R555:R557">
    <cfRule type="cellIs" dxfId="37" priority="52" stopIfTrue="1" operator="equal">
      <formula>"NO"</formula>
    </cfRule>
  </conditionalFormatting>
  <conditionalFormatting sqref="S555:S557">
    <cfRule type="cellIs" dxfId="36" priority="51" stopIfTrue="1" operator="equal">
      <formula>"INVIABLE SANITARIAMENTE"</formula>
    </cfRule>
  </conditionalFormatting>
  <conditionalFormatting sqref="E555:Q557">
    <cfRule type="containsBlanks" dxfId="35" priority="44" stopIfTrue="1">
      <formula>LEN(TRIM(E555))=0</formula>
    </cfRule>
    <cfRule type="cellIs" dxfId="34" priority="45" stopIfTrue="1" operator="between">
      <formula>80.1</formula>
      <formula>100</formula>
    </cfRule>
    <cfRule type="cellIs" dxfId="33" priority="46" stopIfTrue="1" operator="between">
      <formula>35.1</formula>
      <formula>80</formula>
    </cfRule>
    <cfRule type="cellIs" dxfId="32" priority="47" stopIfTrue="1" operator="between">
      <formula>14.1</formula>
      <formula>35</formula>
    </cfRule>
    <cfRule type="cellIs" dxfId="31" priority="48" stopIfTrue="1" operator="between">
      <formula>5.1</formula>
      <formula>14</formula>
    </cfRule>
    <cfRule type="cellIs" dxfId="30" priority="49" stopIfTrue="1" operator="between">
      <formula>0</formula>
      <formula>5</formula>
    </cfRule>
    <cfRule type="containsBlanks" dxfId="29" priority="50" stopIfTrue="1">
      <formula>LEN(TRIM(E555))=0</formula>
    </cfRule>
  </conditionalFormatting>
  <conditionalFormatting sqref="S555:S557">
    <cfRule type="containsText" dxfId="28" priority="39" stopIfTrue="1" operator="containsText" text="INVIABLE SANITARIAMENTE">
      <formula>NOT(ISERROR(SEARCH("INVIABLE SANITARIAMENTE",S555)))</formula>
    </cfRule>
    <cfRule type="containsText" dxfId="27" priority="40" stopIfTrue="1" operator="containsText" text="ALTO">
      <formula>NOT(ISERROR(SEARCH("ALTO",S555)))</formula>
    </cfRule>
    <cfRule type="containsText" dxfId="26" priority="41" stopIfTrue="1" operator="containsText" text="MEDIO">
      <formula>NOT(ISERROR(SEARCH("MEDIO",S555)))</formula>
    </cfRule>
    <cfRule type="containsText" dxfId="25" priority="42" stopIfTrue="1" operator="containsText" text="BAJO">
      <formula>NOT(ISERROR(SEARCH("BAJO",S555)))</formula>
    </cfRule>
    <cfRule type="containsText" dxfId="24" priority="43" stopIfTrue="1" operator="containsText" text="SIN RIESGO">
      <formula>NOT(ISERROR(SEARCH("SIN RIESGO",S555)))</formula>
    </cfRule>
  </conditionalFormatting>
  <conditionalFormatting sqref="S555:S557">
    <cfRule type="containsText" dxfId="23" priority="38" stopIfTrue="1" operator="containsText" text="SIN RIESGO">
      <formula>NOT(ISERROR(SEARCH("SIN RIESGO",S555)))</formula>
    </cfRule>
  </conditionalFormatting>
  <conditionalFormatting sqref="R558:R559">
    <cfRule type="cellIs" dxfId="22" priority="37" stopIfTrue="1" operator="equal">
      <formula>"NO"</formula>
    </cfRule>
  </conditionalFormatting>
  <conditionalFormatting sqref="S558:S559">
    <cfRule type="cellIs" dxfId="21" priority="36" stopIfTrue="1" operator="equal">
      <formula>"INVIABLE SANITARIAMENTE"</formula>
    </cfRule>
  </conditionalFormatting>
  <conditionalFormatting sqref="S558:S559">
    <cfRule type="containsText" dxfId="20" priority="24" stopIfTrue="1" operator="containsText" text="INVIABLE SANITARIAMENTE">
      <formula>NOT(ISERROR(SEARCH("INVIABLE SANITARIAMENTE",S558)))</formula>
    </cfRule>
    <cfRule type="containsText" dxfId="19" priority="25" stopIfTrue="1" operator="containsText" text="ALTO">
      <formula>NOT(ISERROR(SEARCH("ALTO",S558)))</formula>
    </cfRule>
    <cfRule type="containsText" dxfId="18" priority="26" stopIfTrue="1" operator="containsText" text="MEDIO">
      <formula>NOT(ISERROR(SEARCH("MEDIO",S558)))</formula>
    </cfRule>
    <cfRule type="containsText" dxfId="17" priority="27" stopIfTrue="1" operator="containsText" text="BAJO">
      <formula>NOT(ISERROR(SEARCH("BAJO",S558)))</formula>
    </cfRule>
    <cfRule type="containsText" dxfId="16" priority="28" stopIfTrue="1" operator="containsText" text="SIN RIESGO">
      <formula>NOT(ISERROR(SEARCH("SIN RIESGO",S558)))</formula>
    </cfRule>
  </conditionalFormatting>
  <conditionalFormatting sqref="S558:S559">
    <cfRule type="containsText" dxfId="15" priority="23" stopIfTrue="1" operator="containsText" text="SIN RIESGO">
      <formula>NOT(ISERROR(SEARCH("SIN RIESGO",S558)))</formula>
    </cfRule>
  </conditionalFormatting>
  <conditionalFormatting sqref="R348">
    <cfRule type="cellIs" dxfId="14" priority="8" stopIfTrue="1" operator="equal">
      <formula>"NO"</formula>
    </cfRule>
  </conditionalFormatting>
  <conditionalFormatting sqref="S348">
    <cfRule type="cellIs" dxfId="13" priority="9" stopIfTrue="1" operator="equal">
      <formula>"INVIABLE SANITARIAMENTE"</formula>
    </cfRule>
  </conditionalFormatting>
  <conditionalFormatting sqref="E348:Q348">
    <cfRule type="containsBlanks" dxfId="12" priority="10" stopIfTrue="1">
      <formula>LEN(TRIM(E348))=0</formula>
    </cfRule>
  </conditionalFormatting>
  <conditionalFormatting sqref="E348:Q348">
    <cfRule type="cellIs" dxfId="11" priority="11" stopIfTrue="1" operator="between">
      <formula>80.1</formula>
      <formula>100</formula>
    </cfRule>
  </conditionalFormatting>
  <conditionalFormatting sqref="E348:Q348">
    <cfRule type="cellIs" dxfId="10" priority="12" stopIfTrue="1" operator="between">
      <formula>35.1</formula>
      <formula>80</formula>
    </cfRule>
  </conditionalFormatting>
  <conditionalFormatting sqref="E348:Q348">
    <cfRule type="cellIs" dxfId="9" priority="13" stopIfTrue="1" operator="between">
      <formula>14.1</formula>
      <formula>35</formula>
    </cfRule>
  </conditionalFormatting>
  <conditionalFormatting sqref="E348:Q348">
    <cfRule type="cellIs" dxfId="8" priority="14" stopIfTrue="1" operator="between">
      <formula>5.1</formula>
      <formula>14</formula>
    </cfRule>
  </conditionalFormatting>
  <conditionalFormatting sqref="E348:Q348">
    <cfRule type="cellIs" dxfId="7" priority="15" stopIfTrue="1" operator="between">
      <formula>0</formula>
      <formula>5</formula>
    </cfRule>
  </conditionalFormatting>
  <conditionalFormatting sqref="E348:Q348">
    <cfRule type="containsBlanks" dxfId="6" priority="16" stopIfTrue="1">
      <formula>LEN(TRIM(E348))=0</formula>
    </cfRule>
  </conditionalFormatting>
  <conditionalFormatting sqref="S348">
    <cfRule type="containsText" dxfId="5" priority="17" stopIfTrue="1" operator="containsText" text="INVIABLE SANITARIAMENTE">
      <formula>NOT(ISERROR(SEARCH(("INVIABLE SANITARIAMENTE"),(S348))))</formula>
    </cfRule>
  </conditionalFormatting>
  <conditionalFormatting sqref="S348">
    <cfRule type="containsText" dxfId="4" priority="18" stopIfTrue="1" operator="containsText" text="ALTO">
      <formula>NOT(ISERROR(SEARCH(("ALTO"),(S348))))</formula>
    </cfRule>
  </conditionalFormatting>
  <conditionalFormatting sqref="S348">
    <cfRule type="containsText" dxfId="3" priority="19" stopIfTrue="1" operator="containsText" text="MEDIO">
      <formula>NOT(ISERROR(SEARCH(("MEDIO"),(S348))))</formula>
    </cfRule>
  </conditionalFormatting>
  <conditionalFormatting sqref="S348">
    <cfRule type="containsText" dxfId="2" priority="20" stopIfTrue="1" operator="containsText" text="BAJO">
      <formula>NOT(ISERROR(SEARCH(("BAJO"),(S348))))</formula>
    </cfRule>
  </conditionalFormatting>
  <conditionalFormatting sqref="S348">
    <cfRule type="containsText" dxfId="1" priority="21" stopIfTrue="1" operator="containsText" text="SIN RIESGO">
      <formula>NOT(ISERROR(SEARCH(("SIN RIESGO"),(S348))))</formula>
    </cfRule>
  </conditionalFormatting>
  <conditionalFormatting sqref="S348">
    <cfRule type="containsText" dxfId="0" priority="22" stopIfTrue="1" operator="containsText" text="SIN RIESGO">
      <formula>NOT(ISERROR(SEARCH(("SIN RIESGO"),(S348))))</formula>
    </cfRule>
  </conditionalFormatting>
  <printOptions horizontalCentered="1"/>
  <pageMargins left="0.28999999999999998" right="0.2" top="0.6692913385826772" bottom="0.9055118110236221" header="0.43" footer="0.59055118110236227"/>
  <pageSetup paperSize="14" scale="75" orientation="landscape" r:id="rId5"/>
  <headerFooter alignWithMargins="0">
    <oddHeader xml:space="preserve">&amp;L
&amp;C&amp;"Arial,Negrita"&amp;12
&amp;R
&amp;"Arial,Negrita"&amp;12
</oddHeader>
    <oddFooter>&amp;L                                       NA: APLICA.     INDICE DE RIESGO DE CALIDAD DEL  AGUA- IRCA- APTA PARA EL CONSUMO HUMANO. 0 - 5 % % SE CONSIDERA NO APTA PARA EL CONSUMO: 5.1 - 100 %&amp;R
&amp;P</oddFooter>
  </headerFooter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VALLE DE ABURRA</vt:lpstr>
      <vt:lpstr>URABA</vt:lpstr>
      <vt:lpstr>NORTE</vt:lpstr>
      <vt:lpstr>OCCIDENTE</vt:lpstr>
      <vt:lpstr>SUROESTE</vt:lpstr>
      <vt:lpstr>BAJO CAUCA</vt:lpstr>
      <vt:lpstr>MAGDALENA MEDIO</vt:lpstr>
      <vt:lpstr>NORDESTE</vt:lpstr>
      <vt:lpstr>ORIENTE</vt:lpstr>
      <vt:lpstr>CONSOLIDADO-ACUEDUCTOSRURALES1</vt:lpstr>
      <vt:lpstr>CONSOLIDADO-ACUEDUCTOSRURALES2</vt:lpstr>
      <vt:lpstr>Hoja1</vt:lpstr>
      <vt:lpstr>Recuperado_Hoja9</vt:lpstr>
      <vt:lpstr>'MAGDALENA MEDIO'!Títulos_a_imprimir</vt:lpstr>
    </vt:vector>
  </TitlesOfParts>
  <Company>DSSA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jtabaresm</dc:creator>
  <cp:lastModifiedBy>JHON WILLIAM TABARES MORALES</cp:lastModifiedBy>
  <cp:lastPrinted>2019-07-04T14:31:52Z</cp:lastPrinted>
  <dcterms:created xsi:type="dcterms:W3CDTF">2008-05-21T23:04:50Z</dcterms:created>
  <dcterms:modified xsi:type="dcterms:W3CDTF">2022-06-22T15:35:28Z</dcterms:modified>
</cp:coreProperties>
</file>